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veteranshealthfoundation1.sharepoint.com/sites/grant/docs/Grant Forms/"/>
    </mc:Choice>
  </mc:AlternateContent>
  <xr:revisionPtr revIDLastSave="2" documentId="8_{D86D0E65-FAD4-4DA5-A0C0-D47C8BA8EFF2}" xr6:coauthVersionLast="47" xr6:coauthVersionMax="47" xr10:uidLastSave="{B36A8E27-B93B-41D5-A061-1279BF0E244B}"/>
  <bookViews>
    <workbookView xWindow="-108" yWindow="-108" windowWidth="23256" windowHeight="13896" xr2:uid="{00000000-000D-0000-FFFF-FFFF00000000}"/>
  </bookViews>
  <sheets>
    <sheet name="SUMMARY" sheetId="8" r:id="rId1"/>
    <sheet name="Primary Site" sheetId="4" r:id="rId2"/>
    <sheet name="HJF" sheetId="5" r:id="rId3"/>
    <sheet name="Pitt Foundation" sheetId="10" r:id="rId4"/>
    <sheet name="Penn" sheetId="9" r:id="rId5"/>
    <sheet name="Stipends &amp; Salary Caps" sheetId="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7" i="8" l="1"/>
  <c r="D27" i="8"/>
  <c r="E27" i="8"/>
  <c r="F27" i="8"/>
  <c r="G27" i="8"/>
  <c r="H27" i="8"/>
  <c r="I27" i="8"/>
  <c r="C28" i="8"/>
  <c r="D28" i="8"/>
  <c r="E28" i="8"/>
  <c r="F28" i="8"/>
  <c r="G28" i="8"/>
  <c r="H28" i="8"/>
  <c r="I28" i="8"/>
  <c r="C29" i="8"/>
  <c r="D29" i="8"/>
  <c r="E29" i="8"/>
  <c r="F29" i="8"/>
  <c r="H29" i="8"/>
  <c r="I29" i="8"/>
  <c r="C30" i="8"/>
  <c r="D30" i="8"/>
  <c r="E30" i="8"/>
  <c r="F30" i="8"/>
  <c r="H30" i="8"/>
  <c r="I30" i="8"/>
  <c r="C31" i="8"/>
  <c r="D31" i="8"/>
  <c r="E31" i="8"/>
  <c r="F31" i="8"/>
  <c r="I31" i="8"/>
  <c r="C32" i="8"/>
  <c r="D32" i="8"/>
  <c r="E32" i="8"/>
  <c r="F32" i="8"/>
  <c r="H32" i="8"/>
  <c r="I32" i="8"/>
  <c r="C16" i="8"/>
  <c r="D16" i="8"/>
  <c r="E16" i="8"/>
  <c r="F16" i="8"/>
  <c r="G16" i="8"/>
  <c r="H16" i="8"/>
  <c r="I16" i="8"/>
  <c r="AO82" i="4"/>
  <c r="AO74" i="4"/>
  <c r="P84" i="4"/>
  <c r="AJ46" i="5"/>
  <c r="S33" i="5"/>
  <c r="AI111" i="4"/>
  <c r="AD93" i="5"/>
  <c r="AE93" i="5"/>
  <c r="AF93" i="5"/>
  <c r="AG93" i="5"/>
  <c r="AH93" i="5"/>
  <c r="G21" i="10"/>
  <c r="AJ65" i="5" l="1"/>
  <c r="AJ67" i="5"/>
  <c r="AJ63" i="5"/>
  <c r="AC69" i="5"/>
  <c r="Q69" i="5"/>
  <c r="W68" i="5"/>
  <c r="W69" i="5" s="1"/>
  <c r="Q68" i="5"/>
  <c r="AJ68" i="5" s="1"/>
  <c r="K66" i="5"/>
  <c r="AJ66" i="5" s="1"/>
  <c r="AJ47" i="5"/>
  <c r="AJ23" i="5"/>
  <c r="AJ32" i="5"/>
  <c r="AJ35" i="5"/>
  <c r="L33" i="5"/>
  <c r="X33" i="5" s="1"/>
  <c r="AA33" i="5" s="1"/>
  <c r="M22" i="5"/>
  <c r="V66" i="4"/>
  <c r="AO66" i="4" s="1"/>
  <c r="V54" i="4"/>
  <c r="AH76" i="4"/>
  <c r="AH73" i="4"/>
  <c r="AB73" i="4"/>
  <c r="P70" i="4"/>
  <c r="AO70" i="4" s="1"/>
  <c r="AH75" i="4"/>
  <c r="AB75" i="4"/>
  <c r="AB76" i="4"/>
  <c r="AH77" i="4"/>
  <c r="AB77" i="4"/>
  <c r="V77" i="4"/>
  <c r="AO77" i="4" s="1"/>
  <c r="V76" i="4"/>
  <c r="V75" i="4"/>
  <c r="AO60" i="4"/>
  <c r="AO61" i="4"/>
  <c r="AO65" i="4"/>
  <c r="AO59" i="4"/>
  <c r="AO56" i="4"/>
  <c r="AO52" i="4"/>
  <c r="AD37" i="4"/>
  <c r="AD38" i="4"/>
  <c r="Q40" i="4"/>
  <c r="W40" i="4" s="1"/>
  <c r="AC40" i="4" s="1"/>
  <c r="W46" i="4"/>
  <c r="W47" i="4"/>
  <c r="W48" i="4"/>
  <c r="R22" i="4"/>
  <c r="R23" i="4"/>
  <c r="R24" i="4"/>
  <c r="S21" i="4"/>
  <c r="R21" i="4" s="1"/>
  <c r="J40" i="4"/>
  <c r="P73" i="4"/>
  <c r="AO73" i="4" s="1"/>
  <c r="P79" i="4"/>
  <c r="AO79" i="4" s="1"/>
  <c r="P76" i="4"/>
  <c r="P75" i="4"/>
  <c r="P63" i="4"/>
  <c r="P67" i="4" s="1"/>
  <c r="AJ21" i="4"/>
  <c r="AL21" i="4" s="1"/>
  <c r="AM21" i="4" s="1"/>
  <c r="AJ22" i="4"/>
  <c r="AL22" i="4" s="1"/>
  <c r="AM22" i="4" s="1"/>
  <c r="AJ23" i="4"/>
  <c r="AL23" i="4" s="1"/>
  <c r="AM23" i="4" s="1"/>
  <c r="AN23" i="4" s="1"/>
  <c r="AJ24" i="4"/>
  <c r="AL24" i="4" s="1"/>
  <c r="AJ34" i="4"/>
  <c r="AL34" i="4" s="1"/>
  <c r="AJ35" i="4"/>
  <c r="AL35" i="4" s="1"/>
  <c r="AM35" i="4" s="1"/>
  <c r="AN35" i="4" s="1"/>
  <c r="AL36" i="4"/>
  <c r="AM36" i="4" s="1"/>
  <c r="AJ37" i="4"/>
  <c r="AL37" i="4" s="1"/>
  <c r="AJ38" i="4"/>
  <c r="AL38" i="4" s="1"/>
  <c r="AM38" i="4" s="1"/>
  <c r="AJ40" i="4"/>
  <c r="AL40" i="4" s="1"/>
  <c r="AM40" i="4" s="1"/>
  <c r="AJ46" i="4"/>
  <c r="AL46" i="4"/>
  <c r="AM46" i="4"/>
  <c r="AJ47" i="4"/>
  <c r="AL47" i="4"/>
  <c r="AM47" i="4"/>
  <c r="AJ48" i="4"/>
  <c r="AL48" i="4"/>
  <c r="AM48" i="4"/>
  <c r="AN54" i="4"/>
  <c r="AO64" i="4"/>
  <c r="AN72" i="4"/>
  <c r="AO72" i="4" s="1"/>
  <c r="AN81" i="4"/>
  <c r="L35" i="4"/>
  <c r="L36" i="4"/>
  <c r="L37" i="4"/>
  <c r="L38" i="4"/>
  <c r="L39" i="4"/>
  <c r="L40" i="4"/>
  <c r="N40" i="4" s="1"/>
  <c r="L46" i="4"/>
  <c r="L47" i="4"/>
  <c r="L48" i="4"/>
  <c r="L34" i="4"/>
  <c r="K22" i="4"/>
  <c r="Q22" i="4" s="1"/>
  <c r="K23" i="4"/>
  <c r="Q23" i="4" s="1"/>
  <c r="AO75" i="4" l="1"/>
  <c r="AO76" i="4"/>
  <c r="V80" i="4"/>
  <c r="P80" i="4"/>
  <c r="AB80" i="4"/>
  <c r="AN67" i="4"/>
  <c r="AM37" i="4"/>
  <c r="AN37" i="4" s="1"/>
  <c r="AN40" i="4"/>
  <c r="AN22" i="4"/>
  <c r="AO63" i="4"/>
  <c r="W23" i="4"/>
  <c r="T23" i="4"/>
  <c r="W22" i="4"/>
  <c r="T22" i="4"/>
  <c r="AN48" i="4"/>
  <c r="AN47" i="4"/>
  <c r="AN46" i="4"/>
  <c r="AM34" i="4"/>
  <c r="AN34" i="4" s="1"/>
  <c r="AN21" i="4"/>
  <c r="AN38" i="4"/>
  <c r="AN36" i="4"/>
  <c r="AB67" i="4"/>
  <c r="V67" i="4"/>
  <c r="U23" i="4" l="1"/>
  <c r="V23" i="4" s="1"/>
  <c r="AC23" i="4"/>
  <c r="U22" i="4"/>
  <c r="V22" i="4" s="1"/>
  <c r="AC22" i="4"/>
  <c r="O33" i="5"/>
  <c r="P33" i="5" l="1"/>
  <c r="Q33" i="5" s="1"/>
  <c r="Y39" i="4"/>
  <c r="R39" i="4"/>
  <c r="K39" i="4"/>
  <c r="Q39" i="4" s="1"/>
  <c r="W39" i="4" s="1"/>
  <c r="AC39" i="4" s="1"/>
  <c r="Y33" i="5"/>
  <c r="R38" i="4"/>
  <c r="Y38" i="4"/>
  <c r="G30" i="8" s="1"/>
  <c r="K38" i="4"/>
  <c r="AD23" i="4"/>
  <c r="X23" i="4"/>
  <c r="Z23" i="4" s="1"/>
  <c r="L23" i="4"/>
  <c r="N23" i="4" s="1"/>
  <c r="X39" i="4" l="1"/>
  <c r="G31" i="8"/>
  <c r="N38" i="4"/>
  <c r="O38" i="4" s="1"/>
  <c r="P38" i="4" s="1"/>
  <c r="Q38" i="4"/>
  <c r="W38" i="4" s="1"/>
  <c r="AC38" i="4" s="1"/>
  <c r="T39" i="4"/>
  <c r="U39" i="4" s="1"/>
  <c r="N39" i="4"/>
  <c r="O39" i="4" s="1"/>
  <c r="AE39" i="4"/>
  <c r="X38" i="4"/>
  <c r="O40" i="4"/>
  <c r="P40" i="4" s="1"/>
  <c r="O23" i="4"/>
  <c r="P23" i="4" s="1"/>
  <c r="AD39" i="4" l="1"/>
  <c r="H31" i="8"/>
  <c r="Z39" i="4"/>
  <c r="P39" i="4"/>
  <c r="V39" i="4"/>
  <c r="T38" i="4"/>
  <c r="AF23" i="4"/>
  <c r="AF39" i="4" l="1"/>
  <c r="AA39" i="4"/>
  <c r="AB39" i="4" s="1"/>
  <c r="U38" i="4"/>
  <c r="V38" i="4" s="1"/>
  <c r="AF38" i="4"/>
  <c r="Z38" i="4"/>
  <c r="AA23" i="4"/>
  <c r="AB23" i="4" s="1"/>
  <c r="AG23" i="4"/>
  <c r="AH23" i="4" s="1"/>
  <c r="AO23" i="4" l="1"/>
  <c r="J16" i="8" s="1"/>
  <c r="AG38" i="4"/>
  <c r="AH38" i="4" s="1"/>
  <c r="AG39" i="4"/>
  <c r="AH39" i="4" s="1"/>
  <c r="AO39" i="4" s="1"/>
  <c r="J31" i="8" s="1"/>
  <c r="AA38" i="4"/>
  <c r="AB38" i="4" s="1"/>
  <c r="AO38" i="4" l="1"/>
  <c r="J30" i="8" s="1"/>
  <c r="W51" i="5"/>
  <c r="P21" i="9"/>
  <c r="M21" i="10"/>
  <c r="K36" i="4" l="1"/>
  <c r="K35" i="4"/>
  <c r="K34" i="4"/>
  <c r="N34" i="4" l="1"/>
  <c r="Q34" i="4"/>
  <c r="N35" i="4"/>
  <c r="Q35" i="4"/>
  <c r="W35" i="4" s="1"/>
  <c r="AC35" i="4" s="1"/>
  <c r="N36" i="4"/>
  <c r="Q36" i="4"/>
  <c r="W36" i="4" s="1"/>
  <c r="AC36" i="4" s="1"/>
  <c r="AC51" i="5"/>
  <c r="Q51" i="5"/>
  <c r="K51" i="5"/>
  <c r="S33" i="10" l="1"/>
  <c r="F33" i="9" l="1"/>
  <c r="G34" i="5"/>
  <c r="AB33" i="5" l="1"/>
  <c r="AC33" i="5" s="1"/>
  <c r="U33" i="5"/>
  <c r="AD36" i="4"/>
  <c r="X36" i="4"/>
  <c r="R36" i="4"/>
  <c r="AD35" i="4"/>
  <c r="AF35" i="4" s="1"/>
  <c r="X35" i="4"/>
  <c r="R35" i="4"/>
  <c r="AD34" i="4"/>
  <c r="X34" i="4"/>
  <c r="R34" i="4"/>
  <c r="K37" i="4"/>
  <c r="Q37" i="4" s="1"/>
  <c r="W37" i="4" s="1"/>
  <c r="AC37" i="4" s="1"/>
  <c r="AD24" i="4"/>
  <c r="L24" i="4"/>
  <c r="N24" i="4" s="1"/>
  <c r="Q24" i="4"/>
  <c r="E24" i="4"/>
  <c r="AM24" i="4" s="1"/>
  <c r="AD22" i="4"/>
  <c r="X22" i="4"/>
  <c r="Z22" i="4" s="1"/>
  <c r="L22" i="4"/>
  <c r="N22" i="4" s="1"/>
  <c r="V33" i="5" l="1"/>
  <c r="W24" i="4"/>
  <c r="AC24" i="4" s="1"/>
  <c r="T24" i="4"/>
  <c r="AG35" i="4"/>
  <c r="AH35" i="4" s="1"/>
  <c r="AN24" i="4"/>
  <c r="N37" i="4"/>
  <c r="O34" i="4"/>
  <c r="O22" i="4"/>
  <c r="P22" i="4" s="1"/>
  <c r="Z36" i="4"/>
  <c r="AA36" i="4" s="1"/>
  <c r="AB36" i="4" s="1"/>
  <c r="T35" i="4"/>
  <c r="U35" i="4" s="1"/>
  <c r="V35" i="4" s="1"/>
  <c r="Y37" i="4"/>
  <c r="O35" i="4"/>
  <c r="P35" i="4" s="1"/>
  <c r="Z35" i="4"/>
  <c r="AA35" i="4" s="1"/>
  <c r="T36" i="4"/>
  <c r="O36" i="4"/>
  <c r="X37" i="4" l="1"/>
  <c r="G29" i="8"/>
  <c r="P34" i="4"/>
  <c r="W33" i="5"/>
  <c r="U24" i="4"/>
  <c r="V24" i="4" s="1"/>
  <c r="AF36" i="4"/>
  <c r="P36" i="4"/>
  <c r="T34" i="4"/>
  <c r="W34" i="4"/>
  <c r="AC34" i="4" s="1"/>
  <c r="R37" i="4"/>
  <c r="T37" i="4" s="1"/>
  <c r="U36" i="4"/>
  <c r="V36" i="4" s="1"/>
  <c r="AB35" i="4"/>
  <c r="AO35" i="4" s="1"/>
  <c r="J27" i="8" s="1"/>
  <c r="O37" i="4"/>
  <c r="P37" i="4" s="1"/>
  <c r="O24" i="4"/>
  <c r="P24" i="4" s="1"/>
  <c r="AF24" i="4"/>
  <c r="Z24" i="4"/>
  <c r="P58" i="4"/>
  <c r="U34" i="4" l="1"/>
  <c r="AG36" i="4"/>
  <c r="AH36" i="4" s="1"/>
  <c r="AO36" i="4" s="1"/>
  <c r="J28" i="8" s="1"/>
  <c r="Z34" i="4"/>
  <c r="AF34" i="4"/>
  <c r="U37" i="4"/>
  <c r="V37" i="4" s="1"/>
  <c r="Z37" i="4"/>
  <c r="AF37" i="4"/>
  <c r="AA24" i="4"/>
  <c r="AB24" i="4" s="1"/>
  <c r="AF22" i="4"/>
  <c r="AG24" i="4"/>
  <c r="AH24" i="4" s="1"/>
  <c r="AO24" i="4" l="1"/>
  <c r="AG34" i="4"/>
  <c r="V34" i="4"/>
  <c r="AA34" i="4"/>
  <c r="AG37" i="4"/>
  <c r="AH37" i="4" s="1"/>
  <c r="AA37" i="4"/>
  <c r="AB37" i="4" s="1"/>
  <c r="AO37" i="4" s="1"/>
  <c r="J29" i="8" s="1"/>
  <c r="AA22" i="4"/>
  <c r="AB22" i="4" s="1"/>
  <c r="AG22" i="4"/>
  <c r="AH22" i="4" s="1"/>
  <c r="AB34" i="4" l="1"/>
  <c r="AO22" i="4"/>
  <c r="AH34" i="4"/>
  <c r="G11" i="10"/>
  <c r="G11" i="9"/>
  <c r="F11" i="10"/>
  <c r="F11" i="9"/>
  <c r="G11" i="5"/>
  <c r="F11" i="5"/>
  <c r="L10" i="4"/>
  <c r="K10" i="4"/>
  <c r="M40" i="8"/>
  <c r="M41" i="8"/>
  <c r="M30" i="8"/>
  <c r="M31" i="8"/>
  <c r="M20" i="8"/>
  <c r="D5" i="8"/>
  <c r="AO34" i="4" l="1"/>
  <c r="H11" i="10"/>
  <c r="H11" i="9"/>
  <c r="M10" i="4"/>
  <c r="H11" i="5"/>
  <c r="AO53" i="4"/>
  <c r="M41" i="4"/>
  <c r="L41" i="4" s="1"/>
  <c r="M42" i="4"/>
  <c r="L42" i="4" s="1"/>
  <c r="M43" i="4"/>
  <c r="L43" i="4" s="1"/>
  <c r="M44" i="4"/>
  <c r="L44" i="4" s="1"/>
  <c r="M45" i="4"/>
  <c r="L45" i="4" s="1"/>
  <c r="L21" i="4"/>
  <c r="L25" i="4"/>
  <c r="L26" i="4"/>
  <c r="L27" i="4"/>
  <c r="L28" i="4"/>
  <c r="L29" i="4"/>
  <c r="L30" i="4"/>
  <c r="L31" i="4"/>
  <c r="K21" i="4"/>
  <c r="K25" i="4"/>
  <c r="K26" i="4"/>
  <c r="K27" i="4"/>
  <c r="K28" i="4"/>
  <c r="K29" i="4"/>
  <c r="K30" i="4"/>
  <c r="K31" i="4"/>
  <c r="Q31" i="4" s="1"/>
  <c r="N21" i="4" l="1"/>
  <c r="Q21" i="4"/>
  <c r="T21" i="4" s="1"/>
  <c r="AO54" i="4"/>
  <c r="U21" i="4" l="1"/>
  <c r="W21" i="4"/>
  <c r="K11" i="4"/>
  <c r="V21" i="4" l="1"/>
  <c r="AC21" i="4"/>
  <c r="AI73" i="10"/>
  <c r="AC73" i="10"/>
  <c r="K51" i="10"/>
  <c r="AI79" i="10"/>
  <c r="AC79" i="10"/>
  <c r="W79" i="10"/>
  <c r="Q79" i="10"/>
  <c r="K79" i="10"/>
  <c r="AJ78" i="10"/>
  <c r="AJ77" i="10"/>
  <c r="AJ75" i="10"/>
  <c r="AJ74" i="10"/>
  <c r="W73" i="10"/>
  <c r="Q73" i="10"/>
  <c r="K73" i="10"/>
  <c r="AJ72" i="10"/>
  <c r="AJ71" i="10"/>
  <c r="AJ69" i="10"/>
  <c r="AJ68" i="10"/>
  <c r="AJ67" i="10"/>
  <c r="AI66" i="10"/>
  <c r="AC66" i="10"/>
  <c r="W66" i="10"/>
  <c r="Q66" i="10"/>
  <c r="K66" i="10"/>
  <c r="AJ65" i="10"/>
  <c r="AJ64" i="10"/>
  <c r="AJ63" i="10"/>
  <c r="AJ62" i="10"/>
  <c r="AJ61" i="10"/>
  <c r="AI59" i="10"/>
  <c r="AC59" i="10"/>
  <c r="W59" i="10"/>
  <c r="Q59" i="10"/>
  <c r="K59" i="10"/>
  <c r="AJ58" i="10"/>
  <c r="AJ57" i="10"/>
  <c r="AJ56" i="10"/>
  <c r="AJ55" i="10"/>
  <c r="AJ54" i="10"/>
  <c r="AJ53" i="10"/>
  <c r="AI51" i="10"/>
  <c r="AC51" i="10"/>
  <c r="W51" i="10"/>
  <c r="Q51" i="10"/>
  <c r="AJ50" i="10"/>
  <c r="AJ49" i="10"/>
  <c r="AI47" i="10"/>
  <c r="AC47" i="10"/>
  <c r="W47" i="10"/>
  <c r="Q47" i="10"/>
  <c r="K47" i="10"/>
  <c r="AJ46" i="10"/>
  <c r="AJ45" i="10"/>
  <c r="AG42" i="10"/>
  <c r="AE42" i="10"/>
  <c r="AA42" i="10"/>
  <c r="Y42" i="10"/>
  <c r="U42" i="10"/>
  <c r="S42" i="10"/>
  <c r="O42" i="10"/>
  <c r="M42" i="10"/>
  <c r="I42" i="10"/>
  <c r="G42" i="10"/>
  <c r="F42" i="10"/>
  <c r="L42" i="10" s="1"/>
  <c r="R42" i="10" s="1"/>
  <c r="X42" i="10" s="1"/>
  <c r="AD42" i="10" s="1"/>
  <c r="D42" i="10"/>
  <c r="AG41" i="10"/>
  <c r="AE41" i="10"/>
  <c r="AA41" i="10"/>
  <c r="Y41" i="10"/>
  <c r="U41" i="10"/>
  <c r="S41" i="10"/>
  <c r="O41" i="10"/>
  <c r="M41" i="10"/>
  <c r="I41" i="10"/>
  <c r="G41" i="10"/>
  <c r="F41" i="10"/>
  <c r="L41" i="10" s="1"/>
  <c r="R41" i="10" s="1"/>
  <c r="X41" i="10" s="1"/>
  <c r="AD41" i="10" s="1"/>
  <c r="D41" i="10"/>
  <c r="AG40" i="10"/>
  <c r="AE40" i="10"/>
  <c r="AA40" i="10"/>
  <c r="Y40" i="10"/>
  <c r="U40" i="10"/>
  <c r="S40" i="10"/>
  <c r="O40" i="10"/>
  <c r="M40" i="10"/>
  <c r="I40" i="10"/>
  <c r="G40" i="10"/>
  <c r="F40" i="10"/>
  <c r="L40" i="10" s="1"/>
  <c r="R40" i="10" s="1"/>
  <c r="X40" i="10" s="1"/>
  <c r="AD40" i="10" s="1"/>
  <c r="D40" i="10"/>
  <c r="AG39" i="10"/>
  <c r="AE39" i="10"/>
  <c r="AA39" i="10"/>
  <c r="Y39" i="10"/>
  <c r="U39" i="10"/>
  <c r="S39" i="10"/>
  <c r="O39" i="10"/>
  <c r="M39" i="10"/>
  <c r="I39" i="10"/>
  <c r="G39" i="10"/>
  <c r="F39" i="10"/>
  <c r="L39" i="10" s="1"/>
  <c r="R39" i="10" s="1"/>
  <c r="X39" i="10" s="1"/>
  <c r="AD39" i="10" s="1"/>
  <c r="D39" i="10"/>
  <c r="AG38" i="10"/>
  <c r="AE38" i="10"/>
  <c r="AA38" i="10"/>
  <c r="Y38" i="10"/>
  <c r="U38" i="10"/>
  <c r="S38" i="10"/>
  <c r="O38" i="10"/>
  <c r="M38" i="10"/>
  <c r="I38" i="10"/>
  <c r="G38" i="10"/>
  <c r="F38" i="10"/>
  <c r="L38" i="10" s="1"/>
  <c r="R38" i="10" s="1"/>
  <c r="X38" i="10" s="1"/>
  <c r="AD38" i="10" s="1"/>
  <c r="D38" i="10"/>
  <c r="AG37" i="10"/>
  <c r="AE37" i="10"/>
  <c r="AA37" i="10"/>
  <c r="Y37" i="10"/>
  <c r="U37" i="10"/>
  <c r="S37" i="10"/>
  <c r="O37" i="10"/>
  <c r="M37" i="10"/>
  <c r="I37" i="10"/>
  <c r="G37" i="10"/>
  <c r="F37" i="10"/>
  <c r="L37" i="10" s="1"/>
  <c r="R37" i="10" s="1"/>
  <c r="X37" i="10" s="1"/>
  <c r="AD37" i="10" s="1"/>
  <c r="D37" i="10"/>
  <c r="AG36" i="10"/>
  <c r="AE36" i="10"/>
  <c r="AA36" i="10"/>
  <c r="Y36" i="10"/>
  <c r="U36" i="10"/>
  <c r="S36" i="10"/>
  <c r="O36" i="10"/>
  <c r="M36" i="10"/>
  <c r="I36" i="10"/>
  <c r="G36" i="10"/>
  <c r="F36" i="10"/>
  <c r="L36" i="10" s="1"/>
  <c r="R36" i="10" s="1"/>
  <c r="X36" i="10" s="1"/>
  <c r="AD36" i="10" s="1"/>
  <c r="D36" i="10"/>
  <c r="AG35" i="10"/>
  <c r="AE35" i="10"/>
  <c r="AA35" i="10"/>
  <c r="Y35" i="10"/>
  <c r="U35" i="10"/>
  <c r="S35" i="10"/>
  <c r="O35" i="10"/>
  <c r="M35" i="10"/>
  <c r="I35" i="10"/>
  <c r="G35" i="10"/>
  <c r="F35" i="10"/>
  <c r="L35" i="10" s="1"/>
  <c r="R35" i="10" s="1"/>
  <c r="X35" i="10" s="1"/>
  <c r="AD35" i="10" s="1"/>
  <c r="D35" i="10"/>
  <c r="AG34" i="10"/>
  <c r="AE34" i="10"/>
  <c r="AA34" i="10"/>
  <c r="Y34" i="10"/>
  <c r="U34" i="10"/>
  <c r="S34" i="10"/>
  <c r="O34" i="10"/>
  <c r="M34" i="10"/>
  <c r="I34" i="10"/>
  <c r="G34" i="10"/>
  <c r="F34" i="10"/>
  <c r="L34" i="10" s="1"/>
  <c r="R34" i="10" s="1"/>
  <c r="X34" i="10" s="1"/>
  <c r="AD34" i="10" s="1"/>
  <c r="D34" i="10"/>
  <c r="AG33" i="10"/>
  <c r="AE33" i="10"/>
  <c r="AA33" i="10"/>
  <c r="Y33" i="10"/>
  <c r="U33" i="10"/>
  <c r="O33" i="10"/>
  <c r="M33" i="10"/>
  <c r="I33" i="10"/>
  <c r="G33" i="10"/>
  <c r="L33" i="10"/>
  <c r="R33" i="10" s="1"/>
  <c r="X33" i="10" s="1"/>
  <c r="AD33" i="10" s="1"/>
  <c r="D33" i="10"/>
  <c r="AG31" i="10"/>
  <c r="AE31" i="10"/>
  <c r="AA31" i="10"/>
  <c r="Y31" i="10"/>
  <c r="U31" i="10"/>
  <c r="S31" i="10"/>
  <c r="O31" i="10"/>
  <c r="M31" i="10"/>
  <c r="I31" i="10"/>
  <c r="G31" i="10"/>
  <c r="F31" i="10"/>
  <c r="L31" i="10" s="1"/>
  <c r="R31" i="10" s="1"/>
  <c r="X31" i="10" s="1"/>
  <c r="AD31" i="10" s="1"/>
  <c r="D31" i="10"/>
  <c r="AG30" i="10"/>
  <c r="AE30" i="10"/>
  <c r="AA30" i="10"/>
  <c r="Y30" i="10"/>
  <c r="U30" i="10"/>
  <c r="S30" i="10"/>
  <c r="O30" i="10"/>
  <c r="M30" i="10"/>
  <c r="I30" i="10"/>
  <c r="G30" i="10"/>
  <c r="F30" i="10"/>
  <c r="L30" i="10" s="1"/>
  <c r="R30" i="10" s="1"/>
  <c r="X30" i="10" s="1"/>
  <c r="AD30" i="10" s="1"/>
  <c r="D30" i="10"/>
  <c r="AG29" i="10"/>
  <c r="AE29" i="10"/>
  <c r="AA29" i="10"/>
  <c r="Y29" i="10"/>
  <c r="U29" i="10"/>
  <c r="S29" i="10"/>
  <c r="O29" i="10"/>
  <c r="M29" i="10"/>
  <c r="I29" i="10"/>
  <c r="G29" i="10"/>
  <c r="F29" i="10"/>
  <c r="L29" i="10" s="1"/>
  <c r="R29" i="10" s="1"/>
  <c r="X29" i="10" s="1"/>
  <c r="AD29" i="10" s="1"/>
  <c r="D29" i="10"/>
  <c r="AG28" i="10"/>
  <c r="AE28" i="10"/>
  <c r="AA28" i="10"/>
  <c r="Y28" i="10"/>
  <c r="U28" i="10"/>
  <c r="S28" i="10"/>
  <c r="O28" i="10"/>
  <c r="M28" i="10"/>
  <c r="I28" i="10"/>
  <c r="G28" i="10"/>
  <c r="F28" i="10"/>
  <c r="L28" i="10" s="1"/>
  <c r="R28" i="10" s="1"/>
  <c r="X28" i="10" s="1"/>
  <c r="AD28" i="10" s="1"/>
  <c r="D28" i="10"/>
  <c r="AG27" i="10"/>
  <c r="AE27" i="10"/>
  <c r="AA27" i="10"/>
  <c r="Y27" i="10"/>
  <c r="U27" i="10"/>
  <c r="S27" i="10"/>
  <c r="O27" i="10"/>
  <c r="M27" i="10"/>
  <c r="I27" i="10"/>
  <c r="G27" i="10"/>
  <c r="F27" i="10"/>
  <c r="L27" i="10" s="1"/>
  <c r="R27" i="10" s="1"/>
  <c r="X27" i="10" s="1"/>
  <c r="AD27" i="10" s="1"/>
  <c r="D27" i="10"/>
  <c r="AG26" i="10"/>
  <c r="AE26" i="10"/>
  <c r="AA26" i="10"/>
  <c r="Y26" i="10"/>
  <c r="U26" i="10"/>
  <c r="S26" i="10"/>
  <c r="O26" i="10"/>
  <c r="M26" i="10"/>
  <c r="I26" i="10"/>
  <c r="G26" i="10"/>
  <c r="F26" i="10"/>
  <c r="L26" i="10" s="1"/>
  <c r="R26" i="10" s="1"/>
  <c r="X26" i="10" s="1"/>
  <c r="AD26" i="10" s="1"/>
  <c r="D26" i="10"/>
  <c r="AG25" i="10"/>
  <c r="AE25" i="10"/>
  <c r="AA25" i="10"/>
  <c r="Y25" i="10"/>
  <c r="U25" i="10"/>
  <c r="S25" i="10"/>
  <c r="O25" i="10"/>
  <c r="M25" i="10"/>
  <c r="I25" i="10"/>
  <c r="G25" i="10"/>
  <c r="F25" i="10"/>
  <c r="L25" i="10" s="1"/>
  <c r="R25" i="10" s="1"/>
  <c r="X25" i="10" s="1"/>
  <c r="AD25" i="10" s="1"/>
  <c r="D25" i="10"/>
  <c r="AG24" i="10"/>
  <c r="AE24" i="10"/>
  <c r="AA24" i="10"/>
  <c r="Y24" i="10"/>
  <c r="U24" i="10"/>
  <c r="S24" i="10"/>
  <c r="O24" i="10"/>
  <c r="M24" i="10"/>
  <c r="I24" i="10"/>
  <c r="G24" i="10"/>
  <c r="F24" i="10"/>
  <c r="L24" i="10" s="1"/>
  <c r="R24" i="10" s="1"/>
  <c r="X24" i="10" s="1"/>
  <c r="AD24" i="10" s="1"/>
  <c r="D24" i="10"/>
  <c r="AG23" i="10"/>
  <c r="AE23" i="10"/>
  <c r="AA23" i="10"/>
  <c r="Y23" i="10"/>
  <c r="U23" i="10"/>
  <c r="S23" i="10"/>
  <c r="O23" i="10"/>
  <c r="M23" i="10"/>
  <c r="I23" i="10"/>
  <c r="G23" i="10"/>
  <c r="F23" i="10"/>
  <c r="L23" i="10" s="1"/>
  <c r="R23" i="10" s="1"/>
  <c r="X23" i="10" s="1"/>
  <c r="AD23" i="10" s="1"/>
  <c r="D23" i="10"/>
  <c r="AG22" i="10"/>
  <c r="AE22" i="10"/>
  <c r="AA22" i="10"/>
  <c r="Y22" i="10"/>
  <c r="U22" i="10"/>
  <c r="S22" i="10"/>
  <c r="M22" i="10"/>
  <c r="I22" i="10"/>
  <c r="G22" i="10"/>
  <c r="F22" i="10"/>
  <c r="L22" i="10" s="1"/>
  <c r="D22" i="10"/>
  <c r="AG21" i="10"/>
  <c r="AE21" i="10"/>
  <c r="Y21" i="10"/>
  <c r="S21" i="10"/>
  <c r="F21" i="10"/>
  <c r="I21" i="10" s="1"/>
  <c r="J21" i="10" s="1"/>
  <c r="F15" i="10"/>
  <c r="F14" i="10"/>
  <c r="F13" i="10"/>
  <c r="F12" i="10"/>
  <c r="F18" i="10"/>
  <c r="B9" i="10"/>
  <c r="B8" i="10"/>
  <c r="B7" i="10"/>
  <c r="B2" i="10"/>
  <c r="B1" i="10"/>
  <c r="AI79" i="9"/>
  <c r="AC79" i="9"/>
  <c r="W79" i="9"/>
  <c r="Q79" i="9"/>
  <c r="K79" i="9"/>
  <c r="AJ78" i="9"/>
  <c r="AJ77" i="9"/>
  <c r="AJ75" i="9"/>
  <c r="AJ74" i="9"/>
  <c r="AI73" i="9"/>
  <c r="AC73" i="9"/>
  <c r="W73" i="9"/>
  <c r="Q73" i="9"/>
  <c r="K73" i="9"/>
  <c r="AJ72" i="9"/>
  <c r="AJ71" i="9"/>
  <c r="AJ69" i="9"/>
  <c r="AJ68" i="9"/>
  <c r="AJ67" i="9"/>
  <c r="AI66" i="9"/>
  <c r="AC66" i="9"/>
  <c r="W66" i="9"/>
  <c r="Q66" i="9"/>
  <c r="K66" i="9"/>
  <c r="AJ65" i="9"/>
  <c r="AJ64" i="9"/>
  <c r="AJ63" i="9"/>
  <c r="AJ62" i="9"/>
  <c r="AJ61" i="9"/>
  <c r="AI59" i="9"/>
  <c r="AC59" i="9"/>
  <c r="W59" i="9"/>
  <c r="Q59" i="9"/>
  <c r="K59" i="9"/>
  <c r="AJ58" i="9"/>
  <c r="AJ57" i="9"/>
  <c r="AJ56" i="9"/>
  <c r="AJ55" i="9"/>
  <c r="AJ54" i="9"/>
  <c r="AJ53" i="9"/>
  <c r="AI51" i="9"/>
  <c r="AC51" i="9"/>
  <c r="W51" i="9"/>
  <c r="Q51" i="9"/>
  <c r="K51" i="9"/>
  <c r="AJ50" i="9"/>
  <c r="AJ49" i="9"/>
  <c r="AI47" i="9"/>
  <c r="AC47" i="9"/>
  <c r="W47" i="9"/>
  <c r="Q47" i="9"/>
  <c r="K47" i="9"/>
  <c r="AJ46" i="9"/>
  <c r="AJ45" i="9"/>
  <c r="AG42" i="9"/>
  <c r="AE42" i="9"/>
  <c r="AA42" i="9"/>
  <c r="Y42" i="9"/>
  <c r="U42" i="9"/>
  <c r="S42" i="9"/>
  <c r="O42" i="9"/>
  <c r="M42" i="9"/>
  <c r="I42" i="9"/>
  <c r="G42" i="9"/>
  <c r="F42" i="9"/>
  <c r="L42" i="9" s="1"/>
  <c r="R42" i="9" s="1"/>
  <c r="X42" i="9" s="1"/>
  <c r="AD42" i="9" s="1"/>
  <c r="D42" i="9"/>
  <c r="AG41" i="9"/>
  <c r="AE41" i="9"/>
  <c r="AA41" i="9"/>
  <c r="Y41" i="9"/>
  <c r="U41" i="9"/>
  <c r="S41" i="9"/>
  <c r="O41" i="9"/>
  <c r="M41" i="9"/>
  <c r="I41" i="9"/>
  <c r="G41" i="9"/>
  <c r="F41" i="9"/>
  <c r="L41" i="9" s="1"/>
  <c r="R41" i="9" s="1"/>
  <c r="X41" i="9" s="1"/>
  <c r="AD41" i="9" s="1"/>
  <c r="D41" i="9"/>
  <c r="AG40" i="9"/>
  <c r="AE40" i="9"/>
  <c r="AA40" i="9"/>
  <c r="Y40" i="9"/>
  <c r="U40" i="9"/>
  <c r="S40" i="9"/>
  <c r="O40" i="9"/>
  <c r="M40" i="9"/>
  <c r="I40" i="9"/>
  <c r="G40" i="9"/>
  <c r="F40" i="9"/>
  <c r="L40" i="9" s="1"/>
  <c r="R40" i="9" s="1"/>
  <c r="X40" i="9" s="1"/>
  <c r="AD40" i="9" s="1"/>
  <c r="D40" i="9"/>
  <c r="AB40" i="9" s="1"/>
  <c r="AG39" i="9"/>
  <c r="AE39" i="9"/>
  <c r="AA39" i="9"/>
  <c r="Y39" i="9"/>
  <c r="U39" i="9"/>
  <c r="S39" i="9"/>
  <c r="O39" i="9"/>
  <c r="M39" i="9"/>
  <c r="I39" i="9"/>
  <c r="G39" i="9"/>
  <c r="F39" i="9"/>
  <c r="L39" i="9" s="1"/>
  <c r="R39" i="9" s="1"/>
  <c r="X39" i="9" s="1"/>
  <c r="AD39" i="9" s="1"/>
  <c r="D39" i="9"/>
  <c r="AG38" i="9"/>
  <c r="AE38" i="9"/>
  <c r="AA38" i="9"/>
  <c r="Y38" i="9"/>
  <c r="U38" i="9"/>
  <c r="S38" i="9"/>
  <c r="O38" i="9"/>
  <c r="M38" i="9"/>
  <c r="I38" i="9"/>
  <c r="G38" i="9"/>
  <c r="F38" i="9"/>
  <c r="L38" i="9" s="1"/>
  <c r="R38" i="9" s="1"/>
  <c r="X38" i="9" s="1"/>
  <c r="AD38" i="9" s="1"/>
  <c r="D38" i="9"/>
  <c r="AG37" i="9"/>
  <c r="AE37" i="9"/>
  <c r="AA37" i="9"/>
  <c r="Y37" i="9"/>
  <c r="U37" i="9"/>
  <c r="S37" i="9"/>
  <c r="O37" i="9"/>
  <c r="M37" i="9"/>
  <c r="I37" i="9"/>
  <c r="G37" i="9"/>
  <c r="F37" i="9"/>
  <c r="L37" i="9" s="1"/>
  <c r="R37" i="9" s="1"/>
  <c r="X37" i="9" s="1"/>
  <c r="AD37" i="9" s="1"/>
  <c r="D37" i="9"/>
  <c r="AG36" i="9"/>
  <c r="AE36" i="9"/>
  <c r="AA36" i="9"/>
  <c r="Y36" i="9"/>
  <c r="U36" i="9"/>
  <c r="S36" i="9"/>
  <c r="O36" i="9"/>
  <c r="M36" i="9"/>
  <c r="I36" i="9"/>
  <c r="G36" i="9"/>
  <c r="F36" i="9"/>
  <c r="L36" i="9" s="1"/>
  <c r="R36" i="9" s="1"/>
  <c r="X36" i="9" s="1"/>
  <c r="AD36" i="9" s="1"/>
  <c r="D36" i="9"/>
  <c r="AG35" i="9"/>
  <c r="AE35" i="9"/>
  <c r="AA35" i="9"/>
  <c r="Y35" i="9"/>
  <c r="U35" i="9"/>
  <c r="S35" i="9"/>
  <c r="O35" i="9"/>
  <c r="M35" i="9"/>
  <c r="I35" i="9"/>
  <c r="G35" i="9"/>
  <c r="F35" i="9"/>
  <c r="L35" i="9" s="1"/>
  <c r="R35" i="9" s="1"/>
  <c r="X35" i="9" s="1"/>
  <c r="AD35" i="9" s="1"/>
  <c r="D35" i="9"/>
  <c r="AG34" i="9"/>
  <c r="AE34" i="9"/>
  <c r="AA34" i="9"/>
  <c r="Y34" i="9"/>
  <c r="U34" i="9"/>
  <c r="S34" i="9"/>
  <c r="O34" i="9"/>
  <c r="M34" i="9"/>
  <c r="I34" i="9"/>
  <c r="G34" i="9"/>
  <c r="F34" i="9"/>
  <c r="L34" i="9" s="1"/>
  <c r="R34" i="9" s="1"/>
  <c r="X34" i="9" s="1"/>
  <c r="AD34" i="9" s="1"/>
  <c r="D34" i="9"/>
  <c r="AG33" i="9"/>
  <c r="AE33" i="9"/>
  <c r="AA33" i="9"/>
  <c r="Y33" i="9"/>
  <c r="U33" i="9"/>
  <c r="S33" i="9"/>
  <c r="O33" i="9"/>
  <c r="M33" i="9"/>
  <c r="I33" i="9"/>
  <c r="G33" i="9"/>
  <c r="L33" i="9"/>
  <c r="R33" i="9" s="1"/>
  <c r="X33" i="9" s="1"/>
  <c r="AD33" i="9" s="1"/>
  <c r="AG31" i="9"/>
  <c r="AE31" i="9"/>
  <c r="AA31" i="9"/>
  <c r="Y31" i="9"/>
  <c r="U31" i="9"/>
  <c r="S31" i="9"/>
  <c r="O31" i="9"/>
  <c r="M31" i="9"/>
  <c r="I31" i="9"/>
  <c r="G31" i="9"/>
  <c r="F31" i="9"/>
  <c r="L31" i="9" s="1"/>
  <c r="R31" i="9" s="1"/>
  <c r="X31" i="9" s="1"/>
  <c r="AD31" i="9" s="1"/>
  <c r="D31" i="9"/>
  <c r="AG30" i="9"/>
  <c r="AE30" i="9"/>
  <c r="AA30" i="9"/>
  <c r="Y30" i="9"/>
  <c r="U30" i="9"/>
  <c r="S30" i="9"/>
  <c r="O30" i="9"/>
  <c r="M30" i="9"/>
  <c r="I30" i="9"/>
  <c r="G30" i="9"/>
  <c r="F30" i="9"/>
  <c r="L30" i="9" s="1"/>
  <c r="R30" i="9" s="1"/>
  <c r="X30" i="9" s="1"/>
  <c r="AD30" i="9" s="1"/>
  <c r="D30" i="9"/>
  <c r="AG29" i="9"/>
  <c r="AE29" i="9"/>
  <c r="AA29" i="9"/>
  <c r="Y29" i="9"/>
  <c r="U29" i="9"/>
  <c r="S29" i="9"/>
  <c r="O29" i="9"/>
  <c r="M29" i="9"/>
  <c r="I29" i="9"/>
  <c r="G29" i="9"/>
  <c r="F29" i="9"/>
  <c r="L29" i="9" s="1"/>
  <c r="R29" i="9" s="1"/>
  <c r="X29" i="9" s="1"/>
  <c r="AD29" i="9" s="1"/>
  <c r="D29" i="9"/>
  <c r="AG28" i="9"/>
  <c r="AE28" i="9"/>
  <c r="AA28" i="9"/>
  <c r="Y28" i="9"/>
  <c r="U28" i="9"/>
  <c r="S28" i="9"/>
  <c r="O28" i="9"/>
  <c r="M28" i="9"/>
  <c r="I28" i="9"/>
  <c r="G28" i="9"/>
  <c r="F28" i="9"/>
  <c r="L28" i="9" s="1"/>
  <c r="R28" i="9" s="1"/>
  <c r="X28" i="9" s="1"/>
  <c r="AD28" i="9" s="1"/>
  <c r="D28" i="9"/>
  <c r="AG27" i="9"/>
  <c r="AE27" i="9"/>
  <c r="AA27" i="9"/>
  <c r="Y27" i="9"/>
  <c r="U27" i="9"/>
  <c r="S27" i="9"/>
  <c r="O27" i="9"/>
  <c r="M27" i="9"/>
  <c r="I27" i="9"/>
  <c r="G27" i="9"/>
  <c r="F27" i="9"/>
  <c r="L27" i="9" s="1"/>
  <c r="R27" i="9" s="1"/>
  <c r="X27" i="9" s="1"/>
  <c r="AD27" i="9" s="1"/>
  <c r="D27" i="9"/>
  <c r="AG26" i="9"/>
  <c r="AE26" i="9"/>
  <c r="AA26" i="9"/>
  <c r="Y26" i="9"/>
  <c r="U26" i="9"/>
  <c r="S26" i="9"/>
  <c r="O26" i="9"/>
  <c r="M26" i="9"/>
  <c r="I26" i="9"/>
  <c r="G26" i="9"/>
  <c r="F26" i="9"/>
  <c r="L26" i="9" s="1"/>
  <c r="R26" i="9" s="1"/>
  <c r="X26" i="9" s="1"/>
  <c r="AD26" i="9" s="1"/>
  <c r="D26" i="9"/>
  <c r="AG25" i="9"/>
  <c r="AE25" i="9"/>
  <c r="AA25" i="9"/>
  <c r="Y25" i="9"/>
  <c r="U25" i="9"/>
  <c r="S25" i="9"/>
  <c r="O25" i="9"/>
  <c r="M25" i="9"/>
  <c r="I25" i="9"/>
  <c r="G25" i="9"/>
  <c r="F25" i="9"/>
  <c r="L25" i="9" s="1"/>
  <c r="R25" i="9" s="1"/>
  <c r="X25" i="9" s="1"/>
  <c r="AD25" i="9" s="1"/>
  <c r="D25" i="9"/>
  <c r="AG24" i="9"/>
  <c r="AE24" i="9"/>
  <c r="AA24" i="9"/>
  <c r="Y24" i="9"/>
  <c r="U24" i="9"/>
  <c r="S24" i="9"/>
  <c r="O24" i="9"/>
  <c r="M24" i="9"/>
  <c r="I24" i="9"/>
  <c r="G24" i="9"/>
  <c r="F24" i="9"/>
  <c r="L24" i="9" s="1"/>
  <c r="R24" i="9" s="1"/>
  <c r="X24" i="9" s="1"/>
  <c r="AD24" i="9" s="1"/>
  <c r="D24" i="9"/>
  <c r="AG23" i="9"/>
  <c r="AE23" i="9"/>
  <c r="AA23" i="9"/>
  <c r="Y23" i="9"/>
  <c r="U23" i="9"/>
  <c r="S23" i="9"/>
  <c r="O23" i="9"/>
  <c r="M23" i="9"/>
  <c r="I23" i="9"/>
  <c r="G23" i="9"/>
  <c r="F23" i="9"/>
  <c r="L23" i="9" s="1"/>
  <c r="R23" i="9" s="1"/>
  <c r="X23" i="9" s="1"/>
  <c r="AD23" i="9" s="1"/>
  <c r="D23" i="9"/>
  <c r="AG22" i="9"/>
  <c r="AE22" i="9"/>
  <c r="AA22" i="9"/>
  <c r="Y22" i="9"/>
  <c r="U22" i="9"/>
  <c r="S22" i="9"/>
  <c r="M22" i="9"/>
  <c r="I22" i="9"/>
  <c r="G22" i="9"/>
  <c r="F22" i="9"/>
  <c r="L22" i="9" s="1"/>
  <c r="R22" i="9" s="1"/>
  <c r="X22" i="9" s="1"/>
  <c r="AD22" i="9" s="1"/>
  <c r="D22" i="9"/>
  <c r="AG21" i="9"/>
  <c r="AE21" i="9"/>
  <c r="Y21" i="9"/>
  <c r="S21" i="9"/>
  <c r="M21" i="9"/>
  <c r="G21" i="9"/>
  <c r="F21" i="9"/>
  <c r="F15" i="9"/>
  <c r="F14" i="9"/>
  <c r="F13" i="9"/>
  <c r="F12" i="9"/>
  <c r="G12" i="9"/>
  <c r="B9" i="9"/>
  <c r="B8" i="9"/>
  <c r="B7" i="9"/>
  <c r="B2" i="9"/>
  <c r="B1" i="9"/>
  <c r="B8" i="5"/>
  <c r="B9" i="5"/>
  <c r="B7" i="5"/>
  <c r="B2" i="5"/>
  <c r="B1" i="5"/>
  <c r="F15" i="5"/>
  <c r="F14" i="5"/>
  <c r="F13" i="5"/>
  <c r="F12" i="5"/>
  <c r="O21" i="4"/>
  <c r="E25" i="4"/>
  <c r="E26" i="4"/>
  <c r="E27" i="4"/>
  <c r="E28" i="4"/>
  <c r="E29" i="4"/>
  <c r="E30" i="4"/>
  <c r="E31" i="4"/>
  <c r="P21" i="4" l="1"/>
  <c r="V36" i="9"/>
  <c r="W36" i="9" s="1"/>
  <c r="AI80" i="10"/>
  <c r="Q44" i="8" s="1"/>
  <c r="R21" i="9"/>
  <c r="X21" i="9" s="1"/>
  <c r="I21" i="9"/>
  <c r="J21" i="9" s="1"/>
  <c r="V28" i="10"/>
  <c r="W28" i="10" s="1"/>
  <c r="L21" i="10"/>
  <c r="V29" i="10"/>
  <c r="W29" i="10" s="1"/>
  <c r="AB25" i="9"/>
  <c r="AC25" i="9" s="1"/>
  <c r="AB27" i="9"/>
  <c r="AC27" i="9" s="1"/>
  <c r="AJ73" i="10"/>
  <c r="AC80" i="10"/>
  <c r="P44" i="8" s="1"/>
  <c r="AB22" i="10"/>
  <c r="AC22" i="10" s="1"/>
  <c r="W80" i="9"/>
  <c r="O34" i="8" s="1"/>
  <c r="V33" i="10"/>
  <c r="W33" i="10" s="1"/>
  <c r="V37" i="10"/>
  <c r="W37" i="10" s="1"/>
  <c r="V24" i="9"/>
  <c r="W24" i="9" s="1"/>
  <c r="P35" i="9"/>
  <c r="Q35" i="9" s="1"/>
  <c r="P39" i="9"/>
  <c r="Q39" i="9" s="1"/>
  <c r="AJ59" i="10"/>
  <c r="AJ51" i="9"/>
  <c r="AJ73" i="9"/>
  <c r="AH21" i="10"/>
  <c r="AI21" i="10" s="1"/>
  <c r="AB24" i="9"/>
  <c r="AC24" i="9" s="1"/>
  <c r="AH37" i="9"/>
  <c r="AI37" i="9" s="1"/>
  <c r="AH38" i="9"/>
  <c r="AI38" i="9" s="1"/>
  <c r="V41" i="10"/>
  <c r="W41" i="10" s="1"/>
  <c r="AH30" i="9"/>
  <c r="AI30" i="9" s="1"/>
  <c r="AB31" i="9"/>
  <c r="AC31" i="9" s="1"/>
  <c r="V42" i="10"/>
  <c r="W42" i="10" s="1"/>
  <c r="AB34" i="9"/>
  <c r="AC34" i="9" s="1"/>
  <c r="P27" i="10"/>
  <c r="Q27" i="10" s="1"/>
  <c r="AB34" i="10"/>
  <c r="AC34" i="10" s="1"/>
  <c r="P36" i="10"/>
  <c r="Q36" i="10" s="1"/>
  <c r="AH34" i="9"/>
  <c r="AI34" i="9" s="1"/>
  <c r="AB41" i="9"/>
  <c r="AC41" i="9" s="1"/>
  <c r="V41" i="9"/>
  <c r="W41" i="9" s="1"/>
  <c r="J40" i="10"/>
  <c r="K40" i="10" s="1"/>
  <c r="AH26" i="9"/>
  <c r="AI26" i="9" s="1"/>
  <c r="J41" i="9"/>
  <c r="K41" i="9" s="1"/>
  <c r="AJ47" i="9"/>
  <c r="AI80" i="9"/>
  <c r="Q34" i="8" s="1"/>
  <c r="J42" i="9"/>
  <c r="K42" i="9" s="1"/>
  <c r="Q80" i="9"/>
  <c r="N34" i="8" s="1"/>
  <c r="J23" i="10"/>
  <c r="K23" i="10" s="1"/>
  <c r="AB24" i="10"/>
  <c r="AC24" i="10" s="1"/>
  <c r="J35" i="10"/>
  <c r="K35" i="10" s="1"/>
  <c r="V22" i="9"/>
  <c r="W22" i="9" s="1"/>
  <c r="AB23" i="9"/>
  <c r="AC23" i="9" s="1"/>
  <c r="AB25" i="10"/>
  <c r="AC25" i="10" s="1"/>
  <c r="J26" i="10"/>
  <c r="K26" i="10" s="1"/>
  <c r="AH31" i="10"/>
  <c r="AI31" i="10" s="1"/>
  <c r="J33" i="10"/>
  <c r="K33" i="10" s="1"/>
  <c r="AB38" i="10"/>
  <c r="AC38" i="10" s="1"/>
  <c r="J39" i="10"/>
  <c r="K39" i="10" s="1"/>
  <c r="P40" i="10"/>
  <c r="Q40" i="10" s="1"/>
  <c r="AB30" i="10"/>
  <c r="AC30" i="10" s="1"/>
  <c r="P31" i="10"/>
  <c r="Q31" i="10" s="1"/>
  <c r="Q80" i="10"/>
  <c r="N44" i="8" s="1"/>
  <c r="V40" i="9"/>
  <c r="W40" i="9" s="1"/>
  <c r="AH28" i="10"/>
  <c r="AI28" i="10" s="1"/>
  <c r="P40" i="9"/>
  <c r="Q40" i="9" s="1"/>
  <c r="P28" i="10"/>
  <c r="Q28" i="10" s="1"/>
  <c r="AB36" i="10"/>
  <c r="AC36" i="10" s="1"/>
  <c r="J39" i="9"/>
  <c r="K39" i="9" s="1"/>
  <c r="J28" i="10"/>
  <c r="K28" i="10" s="1"/>
  <c r="AB23" i="10"/>
  <c r="AC23" i="10" s="1"/>
  <c r="V39" i="9"/>
  <c r="W39" i="9" s="1"/>
  <c r="AH39" i="9"/>
  <c r="AI39" i="9" s="1"/>
  <c r="V22" i="10"/>
  <c r="W22" i="10" s="1"/>
  <c r="AB29" i="10"/>
  <c r="AC29" i="10" s="1"/>
  <c r="AH40" i="10"/>
  <c r="AI40" i="10" s="1"/>
  <c r="J41" i="10"/>
  <c r="K41" i="10" s="1"/>
  <c r="P42" i="10"/>
  <c r="Q42" i="10" s="1"/>
  <c r="AH24" i="9"/>
  <c r="AI24" i="9" s="1"/>
  <c r="J25" i="9"/>
  <c r="K25" i="9" s="1"/>
  <c r="V25" i="9"/>
  <c r="W25" i="9" s="1"/>
  <c r="P27" i="9"/>
  <c r="Q27" i="9" s="1"/>
  <c r="AB26" i="10"/>
  <c r="AC26" i="10" s="1"/>
  <c r="P33" i="10"/>
  <c r="Q33" i="10" s="1"/>
  <c r="J37" i="10"/>
  <c r="K37" i="10" s="1"/>
  <c r="AB40" i="10"/>
  <c r="AC40" i="10" s="1"/>
  <c r="V25" i="10"/>
  <c r="W25" i="10" s="1"/>
  <c r="P34" i="10"/>
  <c r="Q34" i="10" s="1"/>
  <c r="P38" i="10"/>
  <c r="Q38" i="10" s="1"/>
  <c r="P25" i="10"/>
  <c r="Q25" i="10" s="1"/>
  <c r="AB27" i="10"/>
  <c r="AC27" i="10" s="1"/>
  <c r="P29" i="10"/>
  <c r="Q29" i="10" s="1"/>
  <c r="J31" i="10"/>
  <c r="K31" i="10" s="1"/>
  <c r="AB31" i="10"/>
  <c r="AC31" i="10" s="1"/>
  <c r="AH35" i="10"/>
  <c r="AI35" i="10" s="1"/>
  <c r="J36" i="10"/>
  <c r="K36" i="10" s="1"/>
  <c r="AH41" i="10"/>
  <c r="AI41" i="10" s="1"/>
  <c r="AB42" i="10"/>
  <c r="AC42" i="10" s="1"/>
  <c r="AH27" i="10"/>
  <c r="AI27" i="10" s="1"/>
  <c r="V34" i="10"/>
  <c r="W34" i="10" s="1"/>
  <c r="AH26" i="10"/>
  <c r="AI26" i="10" s="1"/>
  <c r="J27" i="10"/>
  <c r="K27" i="10" s="1"/>
  <c r="AH33" i="10"/>
  <c r="AI33" i="10" s="1"/>
  <c r="AB35" i="10"/>
  <c r="AC35" i="10" s="1"/>
  <c r="AH36" i="10"/>
  <c r="AI36" i="10" s="1"/>
  <c r="P37" i="10"/>
  <c r="Q37" i="10" s="1"/>
  <c r="AH37" i="10"/>
  <c r="AI37" i="10" s="1"/>
  <c r="V38" i="10"/>
  <c r="W38" i="10" s="1"/>
  <c r="P41" i="10"/>
  <c r="Q41" i="10" s="1"/>
  <c r="O22" i="9"/>
  <c r="O43" i="9" s="1"/>
  <c r="P26" i="9"/>
  <c r="Q26" i="9" s="1"/>
  <c r="V26" i="9"/>
  <c r="W26" i="9" s="1"/>
  <c r="P31" i="9"/>
  <c r="Q31" i="9" s="1"/>
  <c r="V31" i="9"/>
  <c r="W31" i="9" s="1"/>
  <c r="AH33" i="9"/>
  <c r="AI33" i="9" s="1"/>
  <c r="AH35" i="9"/>
  <c r="AI35" i="9" s="1"/>
  <c r="P36" i="9"/>
  <c r="Q36" i="9" s="1"/>
  <c r="AB42" i="9"/>
  <c r="AC42" i="9" s="1"/>
  <c r="AH42" i="9"/>
  <c r="AI42" i="9" s="1"/>
  <c r="P25" i="9"/>
  <c r="Q25" i="9" s="1"/>
  <c r="V27" i="9"/>
  <c r="W27" i="9" s="1"/>
  <c r="P30" i="9"/>
  <c r="Q30" i="9" s="1"/>
  <c r="V30" i="9"/>
  <c r="W30" i="9" s="1"/>
  <c r="AC33" i="9"/>
  <c r="J35" i="9"/>
  <c r="K35" i="9" s="1"/>
  <c r="G13" i="9"/>
  <c r="H13" i="9" s="1"/>
  <c r="F18" i="9"/>
  <c r="F18" i="5"/>
  <c r="O22" i="10"/>
  <c r="R22" i="10"/>
  <c r="X22" i="10" s="1"/>
  <c r="AD22" i="10" s="1"/>
  <c r="J29" i="10"/>
  <c r="K29" i="10" s="1"/>
  <c r="J30" i="10"/>
  <c r="K30" i="10" s="1"/>
  <c r="AB33" i="10"/>
  <c r="AC33" i="10" s="1"/>
  <c r="AG43" i="10"/>
  <c r="G12" i="10"/>
  <c r="H12" i="10" s="1"/>
  <c r="J22" i="10"/>
  <c r="K22" i="10" s="1"/>
  <c r="AH22" i="10"/>
  <c r="P23" i="10"/>
  <c r="Q23" i="10" s="1"/>
  <c r="P24" i="10"/>
  <c r="Q24" i="10" s="1"/>
  <c r="J25" i="10"/>
  <c r="K25" i="10" s="1"/>
  <c r="V26" i="10"/>
  <c r="W26" i="10" s="1"/>
  <c r="AB28" i="10"/>
  <c r="AC28" i="10" s="1"/>
  <c r="V31" i="10"/>
  <c r="W31" i="10" s="1"/>
  <c r="P35" i="10"/>
  <c r="Q35" i="10" s="1"/>
  <c r="AH38" i="10"/>
  <c r="AI38" i="10" s="1"/>
  <c r="AB39" i="10"/>
  <c r="AC39" i="10" s="1"/>
  <c r="AH39" i="10"/>
  <c r="AI39" i="10" s="1"/>
  <c r="J42" i="10"/>
  <c r="K42" i="10" s="1"/>
  <c r="W80" i="10"/>
  <c r="O44" i="8" s="1"/>
  <c r="AH24" i="10"/>
  <c r="AI24" i="10" s="1"/>
  <c r="AH42" i="10"/>
  <c r="AI42" i="10" s="1"/>
  <c r="V23" i="10"/>
  <c r="W23" i="10" s="1"/>
  <c r="J24" i="10"/>
  <c r="K24" i="10" s="1"/>
  <c r="V24" i="10"/>
  <c r="W24" i="10" s="1"/>
  <c r="V27" i="10"/>
  <c r="W27" i="10" s="1"/>
  <c r="P30" i="10"/>
  <c r="Q30" i="10" s="1"/>
  <c r="AH34" i="10"/>
  <c r="AI34" i="10" s="1"/>
  <c r="J38" i="10"/>
  <c r="K38" i="10" s="1"/>
  <c r="V39" i="10"/>
  <c r="W39" i="10" s="1"/>
  <c r="AB41" i="10"/>
  <c r="AC41" i="10" s="1"/>
  <c r="AJ51" i="10"/>
  <c r="AJ79" i="10"/>
  <c r="AH25" i="10"/>
  <c r="AI25" i="10" s="1"/>
  <c r="V30" i="10"/>
  <c r="W30" i="10" s="1"/>
  <c r="V36" i="10"/>
  <c r="W36" i="10" s="1"/>
  <c r="P39" i="10"/>
  <c r="Q39" i="10" s="1"/>
  <c r="AH23" i="10"/>
  <c r="AI23" i="10" s="1"/>
  <c r="P26" i="10"/>
  <c r="Q26" i="10" s="1"/>
  <c r="AH29" i="10"/>
  <c r="AI29" i="10" s="1"/>
  <c r="AH30" i="10"/>
  <c r="AI30" i="10" s="1"/>
  <c r="J34" i="10"/>
  <c r="K34" i="10" s="1"/>
  <c r="V35" i="10"/>
  <c r="W35" i="10" s="1"/>
  <c r="AB37" i="10"/>
  <c r="AC37" i="10" s="1"/>
  <c r="V40" i="10"/>
  <c r="W40" i="10" s="1"/>
  <c r="AJ47" i="10"/>
  <c r="AJ66" i="10"/>
  <c r="K80" i="10"/>
  <c r="J22" i="9"/>
  <c r="K22" i="9" s="1"/>
  <c r="J23" i="9"/>
  <c r="K23" i="9" s="1"/>
  <c r="AB35" i="9"/>
  <c r="AC35" i="9" s="1"/>
  <c r="I43" i="9"/>
  <c r="K21" i="9"/>
  <c r="AH25" i="9"/>
  <c r="AI25" i="9" s="1"/>
  <c r="P34" i="9"/>
  <c r="Q34" i="9" s="1"/>
  <c r="J36" i="9"/>
  <c r="K36" i="9" s="1"/>
  <c r="AB36" i="9"/>
  <c r="AC36" i="9" s="1"/>
  <c r="H12" i="9"/>
  <c r="L18" i="9" s="1"/>
  <c r="AG43" i="9"/>
  <c r="AH21" i="9"/>
  <c r="V23" i="9"/>
  <c r="P24" i="9"/>
  <c r="Q24" i="9" s="1"/>
  <c r="V28" i="9"/>
  <c r="W28" i="9" s="1"/>
  <c r="AH28" i="9"/>
  <c r="AI28" i="9" s="1"/>
  <c r="AB28" i="9"/>
  <c r="AC28" i="9" s="1"/>
  <c r="J28" i="9"/>
  <c r="K28" i="9" s="1"/>
  <c r="Q33" i="9"/>
  <c r="V35" i="9"/>
  <c r="W35" i="9" s="1"/>
  <c r="P23" i="9"/>
  <c r="Q23" i="9" s="1"/>
  <c r="AH31" i="9"/>
  <c r="AI31" i="9" s="1"/>
  <c r="J37" i="9"/>
  <c r="K37" i="9" s="1"/>
  <c r="J38" i="9"/>
  <c r="K38" i="9" s="1"/>
  <c r="AA43" i="9"/>
  <c r="AB22" i="9"/>
  <c r="AC22" i="9" s="1"/>
  <c r="AH22" i="9"/>
  <c r="AI22" i="9" s="1"/>
  <c r="J24" i="9"/>
  <c r="K24" i="9" s="1"/>
  <c r="AB29" i="9"/>
  <c r="AC29" i="9" s="1"/>
  <c r="AH29" i="9"/>
  <c r="AI29" i="9" s="1"/>
  <c r="J29" i="9"/>
  <c r="K29" i="9" s="1"/>
  <c r="P29" i="9"/>
  <c r="Q29" i="9" s="1"/>
  <c r="V34" i="9"/>
  <c r="W34" i="9" s="1"/>
  <c r="P38" i="9"/>
  <c r="Q38" i="9" s="1"/>
  <c r="AH41" i="9"/>
  <c r="AI41" i="9" s="1"/>
  <c r="V42" i="9"/>
  <c r="W42" i="9" s="1"/>
  <c r="K80" i="9"/>
  <c r="M34" i="8" s="1"/>
  <c r="AJ66" i="9"/>
  <c r="AB38" i="9"/>
  <c r="AC38" i="9" s="1"/>
  <c r="AH40" i="9"/>
  <c r="AI40" i="9" s="1"/>
  <c r="P41" i="9"/>
  <c r="Q41" i="9" s="1"/>
  <c r="AJ79" i="9"/>
  <c r="AB26" i="9"/>
  <c r="AC26" i="9" s="1"/>
  <c r="AH27" i="9"/>
  <c r="AI27" i="9" s="1"/>
  <c r="V29" i="9"/>
  <c r="W29" i="9" s="1"/>
  <c r="AB30" i="9"/>
  <c r="AC30" i="9" s="1"/>
  <c r="J34" i="9"/>
  <c r="K34" i="9" s="1"/>
  <c r="V37" i="9"/>
  <c r="W37" i="9" s="1"/>
  <c r="V38" i="9"/>
  <c r="W38" i="9" s="1"/>
  <c r="AB39" i="9"/>
  <c r="AC39" i="9" s="1"/>
  <c r="AC40" i="9"/>
  <c r="P42" i="9"/>
  <c r="Q42" i="9" s="1"/>
  <c r="AJ59" i="9"/>
  <c r="AH23" i="9"/>
  <c r="AI23" i="9" s="1"/>
  <c r="J27" i="9"/>
  <c r="K27" i="9" s="1"/>
  <c r="P28" i="9"/>
  <c r="Q28" i="9" s="1"/>
  <c r="J31" i="9"/>
  <c r="K31" i="9" s="1"/>
  <c r="AH36" i="9"/>
  <c r="AI36" i="9" s="1"/>
  <c r="P37" i="9"/>
  <c r="Q37" i="9" s="1"/>
  <c r="AB37" i="9"/>
  <c r="AC37" i="9" s="1"/>
  <c r="J40" i="9"/>
  <c r="K40" i="9" s="1"/>
  <c r="AC80" i="9"/>
  <c r="P34" i="8" s="1"/>
  <c r="J26" i="9"/>
  <c r="K26" i="9" s="1"/>
  <c r="J30" i="9"/>
  <c r="K30" i="9" s="1"/>
  <c r="G12" i="5"/>
  <c r="K14" i="4"/>
  <c r="K13" i="4"/>
  <c r="P94" i="4"/>
  <c r="U21" i="9" l="1"/>
  <c r="V21" i="9" s="1"/>
  <c r="I43" i="10"/>
  <c r="AB21" i="9"/>
  <c r="AB43" i="9" s="1"/>
  <c r="AD21" i="9"/>
  <c r="O21" i="10"/>
  <c r="P21" i="10" s="1"/>
  <c r="R21" i="10"/>
  <c r="U43" i="9"/>
  <c r="G14" i="9"/>
  <c r="G15" i="9" s="1"/>
  <c r="P22" i="9"/>
  <c r="Q22" i="9" s="1"/>
  <c r="AJ22" i="9" s="1"/>
  <c r="AJ80" i="10"/>
  <c r="M44" i="8"/>
  <c r="R44" i="8" s="1"/>
  <c r="AJ24" i="10"/>
  <c r="AJ24" i="9"/>
  <c r="AJ40" i="10"/>
  <c r="AJ39" i="10"/>
  <c r="AJ26" i="10"/>
  <c r="AJ36" i="10"/>
  <c r="AJ27" i="10"/>
  <c r="AJ42" i="10"/>
  <c r="J43" i="10"/>
  <c r="AJ31" i="10"/>
  <c r="AJ25" i="10"/>
  <c r="AH43" i="10"/>
  <c r="AJ29" i="10"/>
  <c r="AJ40" i="9"/>
  <c r="AJ31" i="9"/>
  <c r="AJ39" i="9"/>
  <c r="AJ27" i="9"/>
  <c r="AJ35" i="9"/>
  <c r="R18" i="9"/>
  <c r="AJ38" i="10"/>
  <c r="AJ23" i="10"/>
  <c r="AJ30" i="10"/>
  <c r="AJ41" i="10"/>
  <c r="AJ37" i="10"/>
  <c r="AJ33" i="10"/>
  <c r="AJ28" i="10"/>
  <c r="AI22" i="10"/>
  <c r="AI43" i="10" s="1"/>
  <c r="AJ34" i="10"/>
  <c r="P22" i="10"/>
  <c r="Q22" i="10" s="1"/>
  <c r="AJ35" i="10"/>
  <c r="L18" i="10"/>
  <c r="G13" i="10"/>
  <c r="K21" i="10"/>
  <c r="AJ42" i="9"/>
  <c r="H15" i="9"/>
  <c r="AJ36" i="9"/>
  <c r="AJ37" i="9"/>
  <c r="AJ30" i="9"/>
  <c r="AJ29" i="9"/>
  <c r="AH43" i="9"/>
  <c r="W23" i="9"/>
  <c r="AJ23" i="9" s="1"/>
  <c r="AJ38" i="9"/>
  <c r="K43" i="9"/>
  <c r="M33" i="8" s="1"/>
  <c r="AJ26" i="9"/>
  <c r="AJ25" i="9"/>
  <c r="AI21" i="9"/>
  <c r="AI43" i="9" s="1"/>
  <c r="AJ28" i="9"/>
  <c r="AJ41" i="9"/>
  <c r="AJ34" i="9"/>
  <c r="AJ33" i="9"/>
  <c r="AJ80" i="9"/>
  <c r="J43" i="9"/>
  <c r="G13" i="5"/>
  <c r="H13" i="5" s="1"/>
  <c r="H12" i="5"/>
  <c r="L18" i="5" s="1"/>
  <c r="L11" i="4"/>
  <c r="M11" i="4" s="1"/>
  <c r="X21" i="10" l="1"/>
  <c r="U21" i="10"/>
  <c r="P43" i="9"/>
  <c r="Q21" i="10"/>
  <c r="O43" i="10"/>
  <c r="H14" i="9"/>
  <c r="X18" i="9" s="1"/>
  <c r="AD18" i="9"/>
  <c r="Q81" i="9"/>
  <c r="AC81" i="9"/>
  <c r="P35" i="8" s="1"/>
  <c r="P33" i="8"/>
  <c r="AI81" i="10"/>
  <c r="Q45" i="8" s="1"/>
  <c r="Q43" i="8"/>
  <c r="AI81" i="9"/>
  <c r="Q35" i="8" s="1"/>
  <c r="Q33" i="8"/>
  <c r="AJ22" i="10"/>
  <c r="P43" i="10"/>
  <c r="K43" i="10"/>
  <c r="M43" i="8" s="1"/>
  <c r="H13" i="10"/>
  <c r="R18" i="10" s="1"/>
  <c r="G14" i="10"/>
  <c r="K81" i="9"/>
  <c r="M35" i="8" s="1"/>
  <c r="G14" i="5"/>
  <c r="R18" i="5"/>
  <c r="L12" i="4"/>
  <c r="L13" i="4" s="1"/>
  <c r="Q17" i="4"/>
  <c r="M21" i="8"/>
  <c r="V21" i="10" l="1"/>
  <c r="V43" i="10" s="1"/>
  <c r="W21" i="10"/>
  <c r="W43" i="10" s="1"/>
  <c r="U43" i="10"/>
  <c r="AA21" i="10"/>
  <c r="AD21" i="10"/>
  <c r="Q43" i="10"/>
  <c r="N35" i="8"/>
  <c r="Q82" i="9"/>
  <c r="Q83" i="9" s="1"/>
  <c r="N36" i="8" s="1"/>
  <c r="N33" i="8"/>
  <c r="AC82" i="9"/>
  <c r="AC83" i="9" s="1"/>
  <c r="AC84" i="9" s="1"/>
  <c r="P37" i="8" s="1"/>
  <c r="AI82" i="9"/>
  <c r="AI83" i="9" s="1"/>
  <c r="AI82" i="10"/>
  <c r="AI83" i="10" s="1"/>
  <c r="K81" i="10"/>
  <c r="G15" i="10"/>
  <c r="H14" i="10"/>
  <c r="X18" i="10" s="1"/>
  <c r="K82" i="9"/>
  <c r="H14" i="5"/>
  <c r="X18" i="5" s="1"/>
  <c r="G15" i="5"/>
  <c r="M13" i="4"/>
  <c r="AC17" i="4" s="1"/>
  <c r="L14" i="4"/>
  <c r="M12" i="4"/>
  <c r="I3" i="8"/>
  <c r="J3" i="8"/>
  <c r="I4" i="8"/>
  <c r="H4" i="8"/>
  <c r="H5" i="8"/>
  <c r="H6" i="8"/>
  <c r="H7" i="8"/>
  <c r="H8" i="8"/>
  <c r="H3" i="8"/>
  <c r="D2" i="8"/>
  <c r="D3" i="8"/>
  <c r="D6" i="8"/>
  <c r="D7" i="8"/>
  <c r="D4" i="8"/>
  <c r="M45" i="8" l="1"/>
  <c r="N43" i="8"/>
  <c r="AB21" i="10"/>
  <c r="AA43" i="10"/>
  <c r="Q81" i="10"/>
  <c r="W81" i="10"/>
  <c r="O43" i="8"/>
  <c r="Q84" i="9"/>
  <c r="N37" i="8" s="1"/>
  <c r="P36" i="8"/>
  <c r="AI84" i="9"/>
  <c r="Q37" i="8" s="1"/>
  <c r="Q36" i="8"/>
  <c r="Q46" i="8"/>
  <c r="AI84" i="10"/>
  <c r="Q47" i="8" s="1"/>
  <c r="W17" i="4"/>
  <c r="K82" i="10"/>
  <c r="H15" i="10"/>
  <c r="AD18" i="10" s="1"/>
  <c r="K83" i="9"/>
  <c r="M36" i="8" s="1"/>
  <c r="H15" i="5"/>
  <c r="AD18" i="5" s="1"/>
  <c r="M14" i="4"/>
  <c r="AI17" i="4" s="1"/>
  <c r="E34" i="8"/>
  <c r="D33" i="8"/>
  <c r="D34" i="8"/>
  <c r="D35" i="8"/>
  <c r="D26" i="8"/>
  <c r="C33" i="8"/>
  <c r="C34" i="8"/>
  <c r="C35" i="8"/>
  <c r="C26" i="8"/>
  <c r="E14" i="8"/>
  <c r="E15" i="8"/>
  <c r="E17" i="8"/>
  <c r="E18" i="8"/>
  <c r="E19" i="8"/>
  <c r="E20" i="8"/>
  <c r="E21" i="8"/>
  <c r="E22" i="8"/>
  <c r="E23" i="8"/>
  <c r="D14" i="8"/>
  <c r="D15" i="8"/>
  <c r="D17" i="8"/>
  <c r="D18" i="8"/>
  <c r="D19" i="8"/>
  <c r="D20" i="8"/>
  <c r="D21" i="8"/>
  <c r="D22" i="8"/>
  <c r="D23" i="8"/>
  <c r="C22" i="8"/>
  <c r="C23" i="8"/>
  <c r="C14" i="8"/>
  <c r="C15" i="8"/>
  <c r="C17" i="8"/>
  <c r="C18" i="8"/>
  <c r="C19" i="8"/>
  <c r="C20" i="8"/>
  <c r="C21" i="8"/>
  <c r="N45" i="8" l="1"/>
  <c r="K83" i="10"/>
  <c r="K84" i="10" s="1"/>
  <c r="Q82" i="10"/>
  <c r="Q83" i="10" s="1"/>
  <c r="Q84" i="10" s="1"/>
  <c r="O45" i="8"/>
  <c r="W82" i="10"/>
  <c r="W83" i="10" s="1"/>
  <c r="O46" i="8" s="1"/>
  <c r="AC21" i="10"/>
  <c r="AJ21" i="10" s="1"/>
  <c r="AB43" i="10"/>
  <c r="K84" i="9"/>
  <c r="M37" i="8" s="1"/>
  <c r="I5" i="8"/>
  <c r="AG48" i="4"/>
  <c r="AG47" i="4"/>
  <c r="AA48" i="4"/>
  <c r="AA47" i="4"/>
  <c r="U48" i="4"/>
  <c r="U47" i="4"/>
  <c r="W84" i="10" l="1"/>
  <c r="N47" i="8"/>
  <c r="N46" i="8"/>
  <c r="AC43" i="10"/>
  <c r="M46" i="8"/>
  <c r="M47" i="8"/>
  <c r="K86" i="9"/>
  <c r="J4" i="8"/>
  <c r="K17" i="4"/>
  <c r="I6" i="8"/>
  <c r="AF48" i="4"/>
  <c r="AF47" i="4"/>
  <c r="Z48" i="4"/>
  <c r="Z47" i="4"/>
  <c r="T48" i="4"/>
  <c r="T47" i="4"/>
  <c r="O47" i="8" l="1"/>
  <c r="P43" i="8"/>
  <c r="R43" i="8" s="1"/>
  <c r="AC81" i="10"/>
  <c r="AJ43" i="10"/>
  <c r="Q86" i="9"/>
  <c r="I7" i="8"/>
  <c r="E45" i="4"/>
  <c r="E44" i="4"/>
  <c r="E43" i="4"/>
  <c r="E42" i="4"/>
  <c r="E41" i="4"/>
  <c r="P45" i="8" l="1"/>
  <c r="R45" i="8" s="1"/>
  <c r="AC82" i="10"/>
  <c r="AJ81" i="10"/>
  <c r="J8" i="8"/>
  <c r="I8" i="8"/>
  <c r="Q25" i="4"/>
  <c r="S25" i="4"/>
  <c r="R25" i="4" s="1"/>
  <c r="Q26" i="4"/>
  <c r="S26" i="4"/>
  <c r="R26" i="4" s="1"/>
  <c r="S27" i="4"/>
  <c r="R27" i="4" s="1"/>
  <c r="S28" i="4"/>
  <c r="R28" i="4" s="1"/>
  <c r="S29" i="4"/>
  <c r="R29" i="4" s="1"/>
  <c r="S30" i="4"/>
  <c r="R30" i="4" s="1"/>
  <c r="AC31" i="4"/>
  <c r="S31" i="4"/>
  <c r="R31" i="4" s="1"/>
  <c r="J41" i="4"/>
  <c r="K41" i="4" s="1"/>
  <c r="Q41" i="4" s="1"/>
  <c r="W41" i="4" s="1"/>
  <c r="S41" i="4"/>
  <c r="J42" i="4"/>
  <c r="K42" i="4" s="1"/>
  <c r="J43" i="4"/>
  <c r="K43" i="4" s="1"/>
  <c r="Q43" i="4" s="1"/>
  <c r="J44" i="4"/>
  <c r="K44" i="4" s="1"/>
  <c r="Q44" i="4" s="1"/>
  <c r="W44" i="4" s="1"/>
  <c r="S44" i="4"/>
  <c r="R44" i="4" s="1"/>
  <c r="J45" i="4"/>
  <c r="K45" i="4" s="1"/>
  <c r="Q45" i="4" s="1"/>
  <c r="W45" i="4" s="1"/>
  <c r="V57" i="4"/>
  <c r="V58" i="4" s="1"/>
  <c r="V81" i="4"/>
  <c r="V89" i="4"/>
  <c r="V90" i="4"/>
  <c r="V92" i="4"/>
  <c r="V93" i="4"/>
  <c r="AH95" i="4"/>
  <c r="AN95" i="4" s="1"/>
  <c r="V97" i="4"/>
  <c r="V96" i="4"/>
  <c r="AH54" i="4"/>
  <c r="V95" i="4"/>
  <c r="F31" i="5"/>
  <c r="L31" i="5" s="1"/>
  <c r="R31" i="5" s="1"/>
  <c r="X31" i="5" s="1"/>
  <c r="AD31" i="5" s="1"/>
  <c r="F22" i="5"/>
  <c r="L22" i="5" s="1"/>
  <c r="R22" i="5" s="1"/>
  <c r="X22" i="5" s="1"/>
  <c r="F24" i="5"/>
  <c r="L24" i="5" s="1"/>
  <c r="R24" i="5" s="1"/>
  <c r="X24" i="5" s="1"/>
  <c r="AD24" i="5" s="1"/>
  <c r="F25" i="5"/>
  <c r="L25" i="5" s="1"/>
  <c r="R25" i="5" s="1"/>
  <c r="X25" i="5" s="1"/>
  <c r="AD25" i="5" s="1"/>
  <c r="F26" i="5"/>
  <c r="L26" i="5" s="1"/>
  <c r="R26" i="5" s="1"/>
  <c r="X26" i="5" s="1"/>
  <c r="AD26" i="5" s="1"/>
  <c r="F27" i="5"/>
  <c r="L27" i="5" s="1"/>
  <c r="R27" i="5" s="1"/>
  <c r="X27" i="5" s="1"/>
  <c r="AD27" i="5" s="1"/>
  <c r="F28" i="5"/>
  <c r="L28" i="5" s="1"/>
  <c r="R28" i="5" s="1"/>
  <c r="X28" i="5" s="1"/>
  <c r="AD28" i="5" s="1"/>
  <c r="F29" i="5"/>
  <c r="L29" i="5" s="1"/>
  <c r="R29" i="5" s="1"/>
  <c r="X29" i="5" s="1"/>
  <c r="AD29" i="5" s="1"/>
  <c r="F30" i="5"/>
  <c r="L30" i="5" s="1"/>
  <c r="R30" i="5" s="1"/>
  <c r="X30" i="5" s="1"/>
  <c r="AD30" i="5" s="1"/>
  <c r="F21" i="5"/>
  <c r="AD47" i="4"/>
  <c r="X47" i="4"/>
  <c r="R47" i="4"/>
  <c r="B48" i="4"/>
  <c r="B47" i="4"/>
  <c r="B46" i="4"/>
  <c r="O25" i="5"/>
  <c r="O26" i="5"/>
  <c r="O31" i="5"/>
  <c r="O24" i="5"/>
  <c r="O27" i="5"/>
  <c r="O28" i="5"/>
  <c r="O29" i="5"/>
  <c r="O30" i="5"/>
  <c r="I21" i="5"/>
  <c r="J21" i="5" s="1"/>
  <c r="I25" i="5"/>
  <c r="I26" i="5"/>
  <c r="I31" i="5"/>
  <c r="I22" i="5"/>
  <c r="I24" i="5"/>
  <c r="I27" i="5"/>
  <c r="I28" i="5"/>
  <c r="I29" i="5"/>
  <c r="I30" i="5"/>
  <c r="F42" i="5"/>
  <c r="L42" i="5" s="1"/>
  <c r="R42" i="5" s="1"/>
  <c r="X42" i="5" s="1"/>
  <c r="AD42" i="5" s="1"/>
  <c r="F41" i="5"/>
  <c r="L41" i="5" s="1"/>
  <c r="R41" i="5" s="1"/>
  <c r="X41" i="5" s="1"/>
  <c r="AD41" i="5" s="1"/>
  <c r="F40" i="5"/>
  <c r="L40" i="5" s="1"/>
  <c r="R40" i="5" s="1"/>
  <c r="X40" i="5" s="1"/>
  <c r="AD40" i="5" s="1"/>
  <c r="F39" i="5"/>
  <c r="L39" i="5" s="1"/>
  <c r="R39" i="5" s="1"/>
  <c r="X39" i="5" s="1"/>
  <c r="AD39" i="5" s="1"/>
  <c r="F38" i="5"/>
  <c r="L38" i="5" s="1"/>
  <c r="R38" i="5" s="1"/>
  <c r="X38" i="5" s="1"/>
  <c r="AD38" i="5" s="1"/>
  <c r="F37" i="5"/>
  <c r="L37" i="5" s="1"/>
  <c r="R37" i="5" s="1"/>
  <c r="X37" i="5" s="1"/>
  <c r="AD37" i="5" s="1"/>
  <c r="F36" i="5"/>
  <c r="L36" i="5" s="1"/>
  <c r="R36" i="5" s="1"/>
  <c r="X36" i="5" s="1"/>
  <c r="AD36" i="5" s="1"/>
  <c r="F34" i="5"/>
  <c r="L34" i="5" s="1"/>
  <c r="K69" i="5"/>
  <c r="K76" i="5"/>
  <c r="K82" i="5"/>
  <c r="G21" i="5"/>
  <c r="G22" i="5"/>
  <c r="G24" i="5"/>
  <c r="G25" i="5"/>
  <c r="G26" i="5"/>
  <c r="G27" i="5"/>
  <c r="G28" i="5"/>
  <c r="G29" i="5"/>
  <c r="G30" i="5"/>
  <c r="G31" i="5"/>
  <c r="G33" i="5"/>
  <c r="G36" i="5"/>
  <c r="G37" i="5"/>
  <c r="G38" i="5"/>
  <c r="G39" i="5"/>
  <c r="G40" i="5"/>
  <c r="G41" i="5"/>
  <c r="G42" i="5"/>
  <c r="M24" i="5"/>
  <c r="M25" i="5"/>
  <c r="M26" i="5"/>
  <c r="M27" i="5"/>
  <c r="M28" i="5"/>
  <c r="M29" i="5"/>
  <c r="M30" i="5"/>
  <c r="M31" i="5"/>
  <c r="M33" i="5"/>
  <c r="M34" i="5"/>
  <c r="M36" i="5"/>
  <c r="M37" i="5"/>
  <c r="M38" i="5"/>
  <c r="M39" i="5"/>
  <c r="M40" i="5"/>
  <c r="M41" i="5"/>
  <c r="M42" i="5"/>
  <c r="S22" i="5"/>
  <c r="S24" i="5"/>
  <c r="S25" i="5"/>
  <c r="S26" i="5"/>
  <c r="S27" i="5"/>
  <c r="S28" i="5"/>
  <c r="S29" i="5"/>
  <c r="S30" i="5"/>
  <c r="S31" i="5"/>
  <c r="S34" i="5"/>
  <c r="S36" i="5"/>
  <c r="S37" i="5"/>
  <c r="S38" i="5"/>
  <c r="S39" i="5"/>
  <c r="S40" i="5"/>
  <c r="S41" i="5"/>
  <c r="S42" i="5"/>
  <c r="Y22" i="5"/>
  <c r="Y24" i="5"/>
  <c r="Y25" i="5"/>
  <c r="Y26" i="5"/>
  <c r="Y27" i="5"/>
  <c r="Y28" i="5"/>
  <c r="Y29" i="5"/>
  <c r="Y30" i="5"/>
  <c r="Y31" i="5"/>
  <c r="Y34" i="5"/>
  <c r="Y36" i="5"/>
  <c r="Y37" i="5"/>
  <c r="Y38" i="5"/>
  <c r="Y39" i="5"/>
  <c r="Y40" i="5"/>
  <c r="Y41" i="5"/>
  <c r="Y42" i="5"/>
  <c r="AE22" i="5"/>
  <c r="AE24" i="5"/>
  <c r="AE25" i="5"/>
  <c r="AE26" i="5"/>
  <c r="AE27" i="5"/>
  <c r="AE28" i="5"/>
  <c r="AE29" i="5"/>
  <c r="AE30" i="5"/>
  <c r="AE31" i="5"/>
  <c r="AE33" i="5"/>
  <c r="AE34" i="5"/>
  <c r="AE36" i="5"/>
  <c r="AE37" i="5"/>
  <c r="AE38" i="5"/>
  <c r="AE39" i="5"/>
  <c r="AE40" i="5"/>
  <c r="AE41" i="5"/>
  <c r="AE42" i="5"/>
  <c r="AE21" i="5"/>
  <c r="Y21" i="5"/>
  <c r="S21" i="5"/>
  <c r="M21" i="5"/>
  <c r="AG36" i="5"/>
  <c r="D36" i="5"/>
  <c r="AA22" i="5"/>
  <c r="AA29" i="5"/>
  <c r="D29" i="5"/>
  <c r="P29" i="5" s="1"/>
  <c r="Q29" i="5" s="1"/>
  <c r="AA36" i="5"/>
  <c r="AA37" i="5"/>
  <c r="D37" i="5"/>
  <c r="U26" i="5"/>
  <c r="D26" i="5"/>
  <c r="J26" i="5" s="1"/>
  <c r="K26" i="5" s="1"/>
  <c r="U40" i="5"/>
  <c r="D40" i="5"/>
  <c r="AG31" i="5"/>
  <c r="AA31" i="5"/>
  <c r="U31" i="5"/>
  <c r="D28" i="5"/>
  <c r="O39" i="5"/>
  <c r="D39" i="5"/>
  <c r="O42" i="5"/>
  <c r="D42" i="5"/>
  <c r="D31" i="5"/>
  <c r="I34" i="5"/>
  <c r="I36" i="5"/>
  <c r="I37" i="5"/>
  <c r="AG21" i="5"/>
  <c r="U21" i="5"/>
  <c r="U25" i="5"/>
  <c r="U22" i="5"/>
  <c r="U24" i="5"/>
  <c r="U27" i="5"/>
  <c r="U28" i="5"/>
  <c r="U29" i="5"/>
  <c r="U30" i="5"/>
  <c r="AA21" i="5"/>
  <c r="AG22" i="5"/>
  <c r="U36" i="5"/>
  <c r="U37" i="5"/>
  <c r="U38" i="5"/>
  <c r="U39" i="5"/>
  <c r="U41" i="5"/>
  <c r="U42" i="5"/>
  <c r="D24" i="5"/>
  <c r="AA24" i="5"/>
  <c r="AG24" i="5"/>
  <c r="D25" i="5"/>
  <c r="AG25" i="5"/>
  <c r="AA25" i="5"/>
  <c r="AA26" i="5"/>
  <c r="AG26" i="5"/>
  <c r="D27" i="5"/>
  <c r="AA27" i="5"/>
  <c r="AG27" i="5"/>
  <c r="AG28" i="5"/>
  <c r="AA28" i="5"/>
  <c r="AG29" i="5"/>
  <c r="D30" i="5"/>
  <c r="AA30" i="5"/>
  <c r="AG30" i="5"/>
  <c r="I33" i="5"/>
  <c r="J33" i="5" s="1"/>
  <c r="AG33" i="5"/>
  <c r="AG34" i="5"/>
  <c r="O36" i="5"/>
  <c r="O37" i="5"/>
  <c r="AG37" i="5"/>
  <c r="D38" i="5"/>
  <c r="I38" i="5"/>
  <c r="O38" i="5"/>
  <c r="AA38" i="5"/>
  <c r="AG38" i="5"/>
  <c r="AG39" i="5"/>
  <c r="I39" i="5"/>
  <c r="AA39" i="5"/>
  <c r="I40" i="5"/>
  <c r="O40" i="5"/>
  <c r="AA40" i="5"/>
  <c r="AG40" i="5"/>
  <c r="D41" i="5"/>
  <c r="I41" i="5"/>
  <c r="O41" i="5"/>
  <c r="AA41" i="5"/>
  <c r="AG41" i="5"/>
  <c r="I42" i="5"/>
  <c r="AA42" i="5"/>
  <c r="AG42" i="5"/>
  <c r="K47" i="5"/>
  <c r="Q47" i="5"/>
  <c r="W47" i="5"/>
  <c r="AC47" i="5"/>
  <c r="AI47" i="5"/>
  <c r="AJ49" i="5"/>
  <c r="AJ50" i="5"/>
  <c r="AI51" i="5"/>
  <c r="AJ53" i="5"/>
  <c r="AJ54" i="5"/>
  <c r="AJ55" i="5"/>
  <c r="AJ56" i="5"/>
  <c r="AJ57" i="5"/>
  <c r="AJ58" i="5"/>
  <c r="K59" i="5"/>
  <c r="Q59" i="5"/>
  <c r="W59" i="5"/>
  <c r="AC59" i="5"/>
  <c r="AI59" i="5"/>
  <c r="AJ64" i="5"/>
  <c r="AC76" i="5"/>
  <c r="AC82" i="5"/>
  <c r="AI69" i="5"/>
  <c r="AI76" i="5"/>
  <c r="AI82" i="5"/>
  <c r="AJ70" i="5"/>
  <c r="AJ71" i="5"/>
  <c r="AJ72" i="5"/>
  <c r="AJ74" i="5"/>
  <c r="AJ75" i="5"/>
  <c r="Q76" i="5"/>
  <c r="Q82" i="5"/>
  <c r="W76" i="5"/>
  <c r="W82" i="5"/>
  <c r="AJ77" i="5"/>
  <c r="AJ78" i="5"/>
  <c r="AJ80" i="5"/>
  <c r="AJ81" i="5"/>
  <c r="E40" i="8"/>
  <c r="AB54" i="4"/>
  <c r="P54" i="4"/>
  <c r="E39" i="8"/>
  <c r="W83" i="5" l="1"/>
  <c r="Q83" i="5"/>
  <c r="K83" i="5"/>
  <c r="AJ69" i="5"/>
  <c r="AC83" i="5"/>
  <c r="P24" i="8" s="1"/>
  <c r="V84" i="4"/>
  <c r="AO81" i="4"/>
  <c r="J34" i="5"/>
  <c r="K34" i="5" s="1"/>
  <c r="W43" i="4"/>
  <c r="AC43" i="4" s="1"/>
  <c r="AC83" i="10"/>
  <c r="AC84" i="10" s="1"/>
  <c r="AI86" i="10" s="1"/>
  <c r="AJ82" i="10"/>
  <c r="O24" i="8"/>
  <c r="R34" i="5"/>
  <c r="X34" i="5" s="1"/>
  <c r="O34" i="5"/>
  <c r="L21" i="5"/>
  <c r="AB22" i="5"/>
  <c r="AC22" i="5" s="1"/>
  <c r="J40" i="5"/>
  <c r="K40" i="5" s="1"/>
  <c r="J31" i="5"/>
  <c r="K31" i="5" s="1"/>
  <c r="AO95" i="4"/>
  <c r="AD33" i="5"/>
  <c r="AB97" i="4"/>
  <c r="AH97" i="4" s="1"/>
  <c r="AN97" i="4" s="1"/>
  <c r="AB90" i="4"/>
  <c r="AH90" i="4" s="1"/>
  <c r="AH62" i="4"/>
  <c r="AO62" i="4" s="1"/>
  <c r="AO67" i="4" s="1"/>
  <c r="AJ59" i="5"/>
  <c r="P25" i="5"/>
  <c r="Q25" i="5" s="1"/>
  <c r="AB89" i="4"/>
  <c r="AH89" i="4" s="1"/>
  <c r="AB96" i="4"/>
  <c r="AH96" i="4" s="1"/>
  <c r="AN96" i="4" s="1"/>
  <c r="AB57" i="4"/>
  <c r="AH57" i="4" s="1"/>
  <c r="AN57" i="4" s="1"/>
  <c r="AN58" i="4" s="1"/>
  <c r="R41" i="4"/>
  <c r="T41" i="4" s="1"/>
  <c r="U41" i="4" s="1"/>
  <c r="V41" i="4" s="1"/>
  <c r="AJ51" i="5"/>
  <c r="AH40" i="5"/>
  <c r="AI40" i="5" s="1"/>
  <c r="P30" i="5"/>
  <c r="Q30" i="5" s="1"/>
  <c r="AB93" i="4"/>
  <c r="AH93" i="4" s="1"/>
  <c r="AB83" i="4"/>
  <c r="AB84" i="4" s="1"/>
  <c r="M24" i="8"/>
  <c r="J42" i="5"/>
  <c r="K42" i="5" s="1"/>
  <c r="P40" i="5"/>
  <c r="Q40" i="5" s="1"/>
  <c r="J38" i="5"/>
  <c r="K38" i="5" s="1"/>
  <c r="AH38" i="5"/>
  <c r="AI38" i="5" s="1"/>
  <c r="V30" i="5"/>
  <c r="W30" i="5" s="1"/>
  <c r="AB92" i="4"/>
  <c r="V94" i="4"/>
  <c r="F40" i="8" s="1"/>
  <c r="AH71" i="4"/>
  <c r="N24" i="8"/>
  <c r="V42" i="5"/>
  <c r="W42" i="5" s="1"/>
  <c r="AB28" i="5"/>
  <c r="AC28" i="5" s="1"/>
  <c r="V40" i="5"/>
  <c r="W40" i="5" s="1"/>
  <c r="AB21" i="5"/>
  <c r="AC21" i="5" s="1"/>
  <c r="AH37" i="5"/>
  <c r="AI37" i="5" s="1"/>
  <c r="I43" i="5"/>
  <c r="V26" i="5"/>
  <c r="W26" i="5" s="1"/>
  <c r="AI83" i="5"/>
  <c r="Q24" i="8" s="1"/>
  <c r="J41" i="5"/>
  <c r="K41" i="5" s="1"/>
  <c r="P36" i="5"/>
  <c r="Q36" i="5" s="1"/>
  <c r="P42" i="5"/>
  <c r="Q42" i="5" s="1"/>
  <c r="AB40" i="5"/>
  <c r="AC40" i="5" s="1"/>
  <c r="AJ76" i="5"/>
  <c r="V31" i="5"/>
  <c r="W31" i="5" s="1"/>
  <c r="P39" i="5"/>
  <c r="Q39" i="5" s="1"/>
  <c r="AJ82" i="5"/>
  <c r="AG43" i="5"/>
  <c r="V37" i="5"/>
  <c r="W37" i="5" s="1"/>
  <c r="AH42" i="5"/>
  <c r="AI42" i="5" s="1"/>
  <c r="P28" i="5"/>
  <c r="Q28" i="5" s="1"/>
  <c r="V22" i="5"/>
  <c r="W22" i="5" s="1"/>
  <c r="AH27" i="5"/>
  <c r="AI27" i="5" s="1"/>
  <c r="J37" i="5"/>
  <c r="K37" i="5" s="1"/>
  <c r="AB41" i="5"/>
  <c r="AC41" i="5" s="1"/>
  <c r="F15" i="8"/>
  <c r="F21" i="8"/>
  <c r="F22" i="8"/>
  <c r="F20" i="8"/>
  <c r="F18" i="8"/>
  <c r="F17" i="8"/>
  <c r="F23" i="8"/>
  <c r="F19" i="8"/>
  <c r="T25" i="4"/>
  <c r="J30" i="5"/>
  <c r="K30" i="5" s="1"/>
  <c r="V41" i="5"/>
  <c r="W41" i="5" s="1"/>
  <c r="AB39" i="5"/>
  <c r="AC39" i="5" s="1"/>
  <c r="AH21" i="5"/>
  <c r="AI21" i="5" s="1"/>
  <c r="AB37" i="5"/>
  <c r="AC37" i="5" s="1"/>
  <c r="AH34" i="5"/>
  <c r="AI34" i="5" s="1"/>
  <c r="V39" i="5"/>
  <c r="W39" i="5" s="1"/>
  <c r="J39" i="5"/>
  <c r="K39" i="5" s="1"/>
  <c r="AB25" i="5"/>
  <c r="AC25" i="5" s="1"/>
  <c r="V21" i="5"/>
  <c r="W21" i="5" s="1"/>
  <c r="V25" i="5"/>
  <c r="W25" i="5" s="1"/>
  <c r="AB42" i="5"/>
  <c r="AC42" i="5" s="1"/>
  <c r="AH25" i="5"/>
  <c r="AI25" i="5" s="1"/>
  <c r="AB30" i="5"/>
  <c r="AC30" i="5" s="1"/>
  <c r="Y28" i="4"/>
  <c r="X28" i="4" s="1"/>
  <c r="W26" i="4"/>
  <c r="F39" i="8"/>
  <c r="N41" i="4"/>
  <c r="X25" i="4"/>
  <c r="Y27" i="4"/>
  <c r="X27" i="4" s="1"/>
  <c r="Y31" i="4"/>
  <c r="X31" i="4" s="1"/>
  <c r="Y41" i="4"/>
  <c r="X41" i="4" s="1"/>
  <c r="Y29" i="4"/>
  <c r="X29" i="4" s="1"/>
  <c r="P26" i="5"/>
  <c r="Q26" i="5" s="1"/>
  <c r="AH36" i="5"/>
  <c r="AI36" i="5" s="1"/>
  <c r="V36" i="5"/>
  <c r="W36" i="5" s="1"/>
  <c r="AH30" i="5"/>
  <c r="AI30" i="5" s="1"/>
  <c r="V29" i="5"/>
  <c r="W29" i="5" s="1"/>
  <c r="AH39" i="5"/>
  <c r="AI39" i="5" s="1"/>
  <c r="J28" i="5"/>
  <c r="K28" i="5" s="1"/>
  <c r="J25" i="5"/>
  <c r="K25" i="5" s="1"/>
  <c r="P31" i="5"/>
  <c r="Q31" i="5" s="1"/>
  <c r="AH26" i="5"/>
  <c r="AI26" i="5" s="1"/>
  <c r="AH28" i="5"/>
  <c r="AI28" i="5" s="1"/>
  <c r="AH29" i="5"/>
  <c r="AI29" i="5" s="1"/>
  <c r="AB29" i="5"/>
  <c r="AC29" i="5" s="1"/>
  <c r="J29" i="5"/>
  <c r="K29" i="5" s="1"/>
  <c r="J27" i="5"/>
  <c r="K27" i="5" s="1"/>
  <c r="V27" i="5"/>
  <c r="W27" i="5" s="1"/>
  <c r="AB27" i="5"/>
  <c r="AC27" i="5" s="1"/>
  <c r="P24" i="5"/>
  <c r="Q24" i="5" s="1"/>
  <c r="V24" i="5"/>
  <c r="AB24" i="5"/>
  <c r="AC24" i="5" s="1"/>
  <c r="J24" i="5"/>
  <c r="K24" i="5" s="1"/>
  <c r="J22" i="5"/>
  <c r="K22" i="5" s="1"/>
  <c r="K21" i="5"/>
  <c r="P27" i="5"/>
  <c r="Q27" i="5" s="1"/>
  <c r="P37" i="5"/>
  <c r="Q37" i="5" s="1"/>
  <c r="AH24" i="5"/>
  <c r="AI24" i="5" s="1"/>
  <c r="V38" i="5"/>
  <c r="W38" i="5" s="1"/>
  <c r="P38" i="5"/>
  <c r="Q38" i="5" s="1"/>
  <c r="AB38" i="5"/>
  <c r="AC38" i="5" s="1"/>
  <c r="O22" i="5"/>
  <c r="AD22" i="5"/>
  <c r="AB36" i="5"/>
  <c r="AC36" i="5" s="1"/>
  <c r="J36" i="5"/>
  <c r="K36" i="5" s="1"/>
  <c r="AB26" i="5"/>
  <c r="AC26" i="5" s="1"/>
  <c r="AH22" i="5"/>
  <c r="V28" i="5"/>
  <c r="W28" i="5" s="1"/>
  <c r="AH41" i="5"/>
  <c r="AI41" i="5" s="1"/>
  <c r="P41" i="5"/>
  <c r="Q41" i="5" s="1"/>
  <c r="AH33" i="5"/>
  <c r="AI33" i="5" s="1"/>
  <c r="K33" i="5"/>
  <c r="AJ33" i="5" s="1"/>
  <c r="AH31" i="5"/>
  <c r="AI31" i="5" s="1"/>
  <c r="AB31" i="5"/>
  <c r="AC31" i="5" s="1"/>
  <c r="N45" i="4"/>
  <c r="O45" i="4" s="1"/>
  <c r="P45" i="4" s="1"/>
  <c r="E35" i="8"/>
  <c r="S43" i="4"/>
  <c r="R43" i="4" s="1"/>
  <c r="T43" i="4" s="1"/>
  <c r="U43" i="4" s="1"/>
  <c r="V43" i="4" s="1"/>
  <c r="E33" i="8"/>
  <c r="G15" i="8"/>
  <c r="Y44" i="4"/>
  <c r="F34" i="8"/>
  <c r="S42" i="4"/>
  <c r="E26" i="8"/>
  <c r="T26" i="4"/>
  <c r="U26" i="4" s="1"/>
  <c r="V26" i="4" s="1"/>
  <c r="Y30" i="4"/>
  <c r="X30" i="4" s="1"/>
  <c r="Y26" i="4"/>
  <c r="X26" i="4" s="1"/>
  <c r="X21" i="4"/>
  <c r="Z21" i="4" s="1"/>
  <c r="N42" i="4"/>
  <c r="O42" i="4" s="1"/>
  <c r="Q42" i="4"/>
  <c r="W42" i="4" s="1"/>
  <c r="T44" i="4"/>
  <c r="U44" i="4" s="1"/>
  <c r="V44" i="4" s="1"/>
  <c r="N44" i="4"/>
  <c r="O44" i="4" s="1"/>
  <c r="P44" i="4" s="1"/>
  <c r="W29" i="4"/>
  <c r="N27" i="4"/>
  <c r="O27" i="4" s="1"/>
  <c r="P27" i="4" s="1"/>
  <c r="N43" i="4"/>
  <c r="O43" i="4" s="1"/>
  <c r="P43" i="4" s="1"/>
  <c r="N29" i="4"/>
  <c r="O29" i="4" s="1"/>
  <c r="P29" i="4" s="1"/>
  <c r="Q27" i="4"/>
  <c r="Q30" i="4"/>
  <c r="AC29" i="4"/>
  <c r="N30" i="4"/>
  <c r="O30" i="4" s="1"/>
  <c r="P30" i="4" s="1"/>
  <c r="N28" i="4"/>
  <c r="O28" i="4" s="1"/>
  <c r="P28" i="4" s="1"/>
  <c r="N26" i="4"/>
  <c r="O26" i="4" s="1"/>
  <c r="P26" i="4" s="1"/>
  <c r="W30" i="4"/>
  <c r="Q28" i="4"/>
  <c r="AC26" i="4"/>
  <c r="AC27" i="4"/>
  <c r="W27" i="4"/>
  <c r="Q29" i="4"/>
  <c r="AC30" i="4"/>
  <c r="AC28" i="4"/>
  <c r="N31" i="4"/>
  <c r="W31" i="4"/>
  <c r="W28" i="4"/>
  <c r="W25" i="4"/>
  <c r="N25" i="4"/>
  <c r="AC25" i="4"/>
  <c r="S45" i="4"/>
  <c r="O47" i="4"/>
  <c r="N47" i="4"/>
  <c r="AB47" i="4"/>
  <c r="AH48" i="4"/>
  <c r="V48" i="4"/>
  <c r="AB48" i="4"/>
  <c r="AH47" i="4"/>
  <c r="R46" i="4"/>
  <c r="V47" i="4"/>
  <c r="AJ83" i="5" l="1"/>
  <c r="P34" i="5"/>
  <c r="Q34" i="5" s="1"/>
  <c r="AJ26" i="5"/>
  <c r="AJ29" i="5"/>
  <c r="AJ28" i="5"/>
  <c r="AJ39" i="5"/>
  <c r="AJ30" i="5"/>
  <c r="W24" i="5"/>
  <c r="O41" i="4"/>
  <c r="N49" i="4"/>
  <c r="U25" i="4"/>
  <c r="AJ40" i="5"/>
  <c r="AJ25" i="5"/>
  <c r="AJ41" i="5"/>
  <c r="AJ38" i="5"/>
  <c r="AJ27" i="5"/>
  <c r="AJ37" i="5"/>
  <c r="AJ42" i="5"/>
  <c r="AJ31" i="5"/>
  <c r="AJ36" i="5"/>
  <c r="N32" i="4"/>
  <c r="AH83" i="4"/>
  <c r="AH92" i="4"/>
  <c r="AB94" i="4"/>
  <c r="G40" i="8" s="1"/>
  <c r="AO57" i="4"/>
  <c r="AO58" i="4" s="1"/>
  <c r="AN71" i="4"/>
  <c r="AN80" i="4" s="1"/>
  <c r="AN93" i="4"/>
  <c r="AN90" i="4"/>
  <c r="AO90" i="4" s="1"/>
  <c r="AN89" i="4"/>
  <c r="AO89" i="4" s="1"/>
  <c r="P46" i="8"/>
  <c r="R46" i="8" s="1"/>
  <c r="AJ83" i="10"/>
  <c r="AJ84" i="10" s="1"/>
  <c r="AH67" i="4"/>
  <c r="U34" i="5"/>
  <c r="R21" i="5"/>
  <c r="X21" i="5" s="1"/>
  <c r="AD21" i="5" s="1"/>
  <c r="O21" i="5"/>
  <c r="O43" i="5" s="1"/>
  <c r="AH78" i="4"/>
  <c r="AO78" i="4" s="1"/>
  <c r="AO96" i="4"/>
  <c r="AB58" i="4"/>
  <c r="G39" i="8" s="1"/>
  <c r="R42" i="4"/>
  <c r="T42" i="4" s="1"/>
  <c r="U42" i="4" s="1"/>
  <c r="V42" i="4" s="1"/>
  <c r="G34" i="8"/>
  <c r="X44" i="4"/>
  <c r="Z44" i="4" s="1"/>
  <c r="Y40" i="4"/>
  <c r="R40" i="4"/>
  <c r="T40" i="4" s="1"/>
  <c r="K43" i="5"/>
  <c r="AO97" i="4"/>
  <c r="F35" i="8"/>
  <c r="R45" i="4"/>
  <c r="T45" i="4" s="1"/>
  <c r="U45" i="4" s="1"/>
  <c r="V45" i="4" s="1"/>
  <c r="F26" i="8"/>
  <c r="H15" i="8"/>
  <c r="G21" i="8"/>
  <c r="T28" i="4"/>
  <c r="U28" i="4" s="1"/>
  <c r="V28" i="4" s="1"/>
  <c r="AE27" i="4"/>
  <c r="AK27" i="4" s="1"/>
  <c r="AJ27" i="4" s="1"/>
  <c r="AL27" i="4" s="1"/>
  <c r="AE28" i="4"/>
  <c r="AK28" i="4" s="1"/>
  <c r="AJ28" i="4" s="1"/>
  <c r="AL28" i="4" s="1"/>
  <c r="Z25" i="4"/>
  <c r="AA25" i="4" s="1"/>
  <c r="AB25" i="4" s="1"/>
  <c r="T30" i="4"/>
  <c r="U30" i="4" s="1"/>
  <c r="V30" i="4" s="1"/>
  <c r="T27" i="4"/>
  <c r="Z28" i="4"/>
  <c r="AA28" i="4" s="1"/>
  <c r="AB28" i="4" s="1"/>
  <c r="Z27" i="4"/>
  <c r="AA27" i="4" s="1"/>
  <c r="Z29" i="4"/>
  <c r="AA29" i="4" s="1"/>
  <c r="AB29" i="4" s="1"/>
  <c r="G20" i="8"/>
  <c r="G19" i="8"/>
  <c r="G17" i="8"/>
  <c r="G23" i="8"/>
  <c r="T31" i="4"/>
  <c r="U31" i="4" s="1"/>
  <c r="V31" i="4" s="1"/>
  <c r="AE25" i="4"/>
  <c r="AK25" i="4" s="1"/>
  <c r="AJ25" i="4" s="1"/>
  <c r="AL25" i="4" s="1"/>
  <c r="Z31" i="4"/>
  <c r="AA31" i="4" s="1"/>
  <c r="AB31" i="4" s="1"/>
  <c r="AE31" i="4"/>
  <c r="AK31" i="4" s="1"/>
  <c r="AJ31" i="4" s="1"/>
  <c r="AL31" i="4" s="1"/>
  <c r="AE41" i="4"/>
  <c r="AK41" i="4" s="1"/>
  <c r="AJ41" i="4" s="1"/>
  <c r="AL41" i="4" s="1"/>
  <c r="AE44" i="4"/>
  <c r="AK44" i="4" s="1"/>
  <c r="AJ44" i="4" s="1"/>
  <c r="AL44" i="4" s="1"/>
  <c r="R48" i="4"/>
  <c r="T29" i="4"/>
  <c r="U29" i="4" s="1"/>
  <c r="V29" i="4" s="1"/>
  <c r="Y42" i="4"/>
  <c r="AE29" i="4"/>
  <c r="P42" i="4"/>
  <c r="J43" i="5"/>
  <c r="AI22" i="5"/>
  <c r="AI43" i="5" s="1"/>
  <c r="Q23" i="8" s="1"/>
  <c r="AH43" i="5"/>
  <c r="P22" i="5"/>
  <c r="Q22" i="5" s="1"/>
  <c r="AJ22" i="5" s="1"/>
  <c r="AD21" i="4"/>
  <c r="AF21" i="4" s="1"/>
  <c r="G14" i="8"/>
  <c r="AA21" i="4"/>
  <c r="Y43" i="4"/>
  <c r="X43" i="4" s="1"/>
  <c r="F33" i="8"/>
  <c r="AE26" i="4"/>
  <c r="G18" i="8"/>
  <c r="Z26" i="4"/>
  <c r="AA26" i="4" s="1"/>
  <c r="AB26" i="4" s="1"/>
  <c r="AE30" i="4"/>
  <c r="G22" i="8"/>
  <c r="Z30" i="4"/>
  <c r="AH58" i="4"/>
  <c r="H39" i="8" s="1"/>
  <c r="AC44" i="4"/>
  <c r="Z41" i="4"/>
  <c r="AA41" i="4" s="1"/>
  <c r="AB41" i="4" s="1"/>
  <c r="AC41" i="4"/>
  <c r="O25" i="4"/>
  <c r="O31" i="4"/>
  <c r="P31" i="4" s="1"/>
  <c r="Y45" i="4"/>
  <c r="P47" i="4"/>
  <c r="AO47" i="4" s="1"/>
  <c r="AC45" i="4"/>
  <c r="N46" i="4"/>
  <c r="AH84" i="4" l="1"/>
  <c r="AO83" i="4"/>
  <c r="AO84" i="4" s="1"/>
  <c r="K84" i="5"/>
  <c r="M23" i="8"/>
  <c r="X40" i="4"/>
  <c r="Z40" i="4" s="1"/>
  <c r="G32" i="8"/>
  <c r="AO71" i="4"/>
  <c r="AO80" i="4" s="1"/>
  <c r="U43" i="5"/>
  <c r="AN83" i="4"/>
  <c r="AJ24" i="5"/>
  <c r="AH80" i="4"/>
  <c r="T32" i="4"/>
  <c r="N50" i="4"/>
  <c r="V25" i="4"/>
  <c r="P41" i="4"/>
  <c r="P49" i="4" s="1"/>
  <c r="O49" i="4"/>
  <c r="AB21" i="4"/>
  <c r="P25" i="4"/>
  <c r="P32" i="4" s="1"/>
  <c r="E24" i="8" s="1"/>
  <c r="O32" i="4"/>
  <c r="U40" i="4"/>
  <c r="U49" i="4" s="1"/>
  <c r="T49" i="4"/>
  <c r="Z32" i="4"/>
  <c r="K85" i="5"/>
  <c r="P86" i="4"/>
  <c r="AN92" i="4"/>
  <c r="AH94" i="4"/>
  <c r="H40" i="8" s="1"/>
  <c r="AM31" i="4"/>
  <c r="AN31" i="4" s="1"/>
  <c r="AD29" i="4"/>
  <c r="AF29" i="4" s="1"/>
  <c r="AG29" i="4" s="1"/>
  <c r="AH29" i="4" s="1"/>
  <c r="AK29" i="4"/>
  <c r="AJ29" i="4" s="1"/>
  <c r="AL29" i="4" s="1"/>
  <c r="AM28" i="4"/>
  <c r="AN28" i="4" s="1"/>
  <c r="AM27" i="4"/>
  <c r="AN27" i="4" s="1"/>
  <c r="AM25" i="4"/>
  <c r="AN25" i="4" s="1"/>
  <c r="AD30" i="4"/>
  <c r="AF30" i="4" s="1"/>
  <c r="AG30" i="4" s="1"/>
  <c r="AH30" i="4" s="1"/>
  <c r="AK30" i="4"/>
  <c r="AJ30" i="4" s="1"/>
  <c r="AL30" i="4" s="1"/>
  <c r="AM44" i="4"/>
  <c r="AN44" i="4" s="1"/>
  <c r="AO93" i="4"/>
  <c r="AD26" i="4"/>
  <c r="AK26" i="4"/>
  <c r="AJ26" i="4" s="1"/>
  <c r="AL26" i="4" s="1"/>
  <c r="AM41" i="4"/>
  <c r="AN41" i="4" s="1"/>
  <c r="P47" i="8"/>
  <c r="R47" i="8" s="1"/>
  <c r="I39" i="8"/>
  <c r="V34" i="5"/>
  <c r="V43" i="5" s="1"/>
  <c r="AD34" i="5"/>
  <c r="AA34" i="5"/>
  <c r="P21" i="5"/>
  <c r="Q21" i="5" s="1"/>
  <c r="AJ21" i="5" s="1"/>
  <c r="H23" i="8"/>
  <c r="AD31" i="4"/>
  <c r="AF31" i="4" s="1"/>
  <c r="AG31" i="4" s="1"/>
  <c r="AH31" i="4" s="1"/>
  <c r="X42" i="4"/>
  <c r="Z42" i="4" s="1"/>
  <c r="AA42" i="4" s="1"/>
  <c r="AB42" i="4" s="1"/>
  <c r="I19" i="8"/>
  <c r="H20" i="8"/>
  <c r="AD28" i="4"/>
  <c r="AF28" i="4" s="1"/>
  <c r="AG28" i="4" s="1"/>
  <c r="AH28" i="4" s="1"/>
  <c r="J39" i="8"/>
  <c r="AD41" i="4"/>
  <c r="AF41" i="4" s="1"/>
  <c r="AD40" i="4"/>
  <c r="G35" i="8"/>
  <c r="X45" i="4"/>
  <c r="Z45" i="4" s="1"/>
  <c r="AA45" i="4" s="1"/>
  <c r="AB45" i="4" s="1"/>
  <c r="H34" i="8"/>
  <c r="AD44" i="4"/>
  <c r="AF44" i="4" s="1"/>
  <c r="H19" i="8"/>
  <c r="AD27" i="4"/>
  <c r="AF27" i="4" s="1"/>
  <c r="AG27" i="4" s="1"/>
  <c r="AH27" i="4" s="1"/>
  <c r="AD25" i="4"/>
  <c r="AF25" i="4" s="1"/>
  <c r="AG25" i="4" s="1"/>
  <c r="AH25" i="4" s="1"/>
  <c r="G26" i="8"/>
  <c r="H17" i="8"/>
  <c r="AB27" i="4"/>
  <c r="AE42" i="4"/>
  <c r="AK42" i="4" s="1"/>
  <c r="AJ42" i="4" s="1"/>
  <c r="AL42" i="4" s="1"/>
  <c r="U27" i="4"/>
  <c r="V27" i="4" s="1"/>
  <c r="T46" i="4"/>
  <c r="X48" i="4"/>
  <c r="H21" i="8"/>
  <c r="AI84" i="5"/>
  <c r="AA30" i="4"/>
  <c r="AB30" i="4" s="1"/>
  <c r="I23" i="8"/>
  <c r="H22" i="8"/>
  <c r="I15" i="8"/>
  <c r="H18" i="8"/>
  <c r="AF26" i="4"/>
  <c r="G33" i="8"/>
  <c r="AE43" i="4"/>
  <c r="Z43" i="4"/>
  <c r="AA43" i="4" s="1"/>
  <c r="AB43" i="4" s="1"/>
  <c r="H14" i="8"/>
  <c r="AG21" i="4"/>
  <c r="AC42" i="4"/>
  <c r="AA44" i="4"/>
  <c r="AB44" i="4" s="1"/>
  <c r="X46" i="4"/>
  <c r="AE45" i="4"/>
  <c r="AK45" i="4" s="1"/>
  <c r="AJ45" i="4" s="1"/>
  <c r="AL45" i="4" s="1"/>
  <c r="AA40" i="4"/>
  <c r="O46" i="4"/>
  <c r="P46" i="4" s="1"/>
  <c r="N48" i="4"/>
  <c r="AN86" i="4" l="1"/>
  <c r="Q25" i="8"/>
  <c r="AC34" i="5"/>
  <c r="AC43" i="5" s="1"/>
  <c r="W34" i="5"/>
  <c r="T50" i="4"/>
  <c r="P50" i="4"/>
  <c r="V40" i="4"/>
  <c r="AA49" i="4"/>
  <c r="AA32" i="4"/>
  <c r="AF32" i="4"/>
  <c r="V49" i="4"/>
  <c r="AB32" i="4"/>
  <c r="O50" i="4"/>
  <c r="U32" i="4"/>
  <c r="U50" i="4" s="1"/>
  <c r="V32" i="4"/>
  <c r="AH21" i="4"/>
  <c r="AO21" i="4" s="1"/>
  <c r="Z49" i="4"/>
  <c r="Z50" i="4" s="1"/>
  <c r="K86" i="5"/>
  <c r="AN94" i="4"/>
  <c r="I40" i="8" s="1"/>
  <c r="AO92" i="4"/>
  <c r="AO94" i="4" s="1"/>
  <c r="J40" i="8" s="1"/>
  <c r="AM45" i="4"/>
  <c r="AN45" i="4" s="1"/>
  <c r="AM30" i="4"/>
  <c r="AN30" i="4" s="1"/>
  <c r="AO30" i="4" s="1"/>
  <c r="J22" i="8" s="1"/>
  <c r="AD43" i="4"/>
  <c r="AF43" i="4" s="1"/>
  <c r="AG43" i="4" s="1"/>
  <c r="AH43" i="4" s="1"/>
  <c r="AK43" i="4"/>
  <c r="AJ43" i="4" s="1"/>
  <c r="AL43" i="4" s="1"/>
  <c r="AL49" i="4" s="1"/>
  <c r="AM29" i="4"/>
  <c r="AN29" i="4" s="1"/>
  <c r="AO29" i="4" s="1"/>
  <c r="J21" i="8" s="1"/>
  <c r="AM26" i="4"/>
  <c r="AL32" i="4"/>
  <c r="AM42" i="4"/>
  <c r="AN42" i="4" s="1"/>
  <c r="AB34" i="5"/>
  <c r="AB43" i="5" s="1"/>
  <c r="AA43" i="5"/>
  <c r="P43" i="5"/>
  <c r="Q43" i="5"/>
  <c r="I34" i="8"/>
  <c r="AO28" i="4"/>
  <c r="J20" i="8" s="1"/>
  <c r="AF40" i="4"/>
  <c r="H35" i="8"/>
  <c r="AD45" i="4"/>
  <c r="AF45" i="4" s="1"/>
  <c r="AG45" i="4" s="1"/>
  <c r="AH45" i="4" s="1"/>
  <c r="AD42" i="4"/>
  <c r="AF42" i="4" s="1"/>
  <c r="AG42" i="4" s="1"/>
  <c r="AH42" i="4" s="1"/>
  <c r="AO25" i="4"/>
  <c r="H26" i="8"/>
  <c r="AF46" i="4"/>
  <c r="J17" i="8"/>
  <c r="I20" i="8"/>
  <c r="I17" i="8"/>
  <c r="AO27" i="4"/>
  <c r="J19" i="8" s="1"/>
  <c r="AO31" i="4"/>
  <c r="J23" i="8" s="1"/>
  <c r="Z46" i="4"/>
  <c r="I21" i="8"/>
  <c r="M25" i="8"/>
  <c r="AI85" i="5"/>
  <c r="AI87" i="5" s="1"/>
  <c r="I14" i="8"/>
  <c r="AG26" i="4"/>
  <c r="AG32" i="4" s="1"/>
  <c r="I18" i="8"/>
  <c r="I22" i="8"/>
  <c r="I26" i="8"/>
  <c r="H33" i="8"/>
  <c r="AG44" i="4"/>
  <c r="AH44" i="4" s="1"/>
  <c r="AG41" i="4"/>
  <c r="AH41" i="4" s="1"/>
  <c r="J15" i="8"/>
  <c r="AD48" i="4"/>
  <c r="AD46" i="4"/>
  <c r="U46" i="4"/>
  <c r="V46" i="4" s="1"/>
  <c r="AB40" i="4"/>
  <c r="AB49" i="4" s="1"/>
  <c r="O48" i="4"/>
  <c r="P48" i="4" s="1"/>
  <c r="AO48" i="4" s="1"/>
  <c r="AJ34" i="5" l="1"/>
  <c r="AJ43" i="5" s="1"/>
  <c r="W43" i="5"/>
  <c r="W84" i="5" s="1"/>
  <c r="AN87" i="4"/>
  <c r="Q26" i="8"/>
  <c r="AA50" i="4"/>
  <c r="AB50" i="4"/>
  <c r="G24" i="8"/>
  <c r="AF49" i="4"/>
  <c r="AF50" i="4" s="1"/>
  <c r="V50" i="4"/>
  <c r="K87" i="5"/>
  <c r="M26" i="8" s="1"/>
  <c r="N23" i="8"/>
  <c r="Q84" i="5"/>
  <c r="AN88" i="4"/>
  <c r="AI98" i="4" s="1"/>
  <c r="AM32" i="4"/>
  <c r="AN26" i="4"/>
  <c r="AN32" i="4" s="1"/>
  <c r="AG40" i="4"/>
  <c r="AM43" i="4"/>
  <c r="AM49" i="4" s="1"/>
  <c r="AL50" i="4"/>
  <c r="O23" i="8"/>
  <c r="AC84" i="5"/>
  <c r="P23" i="8"/>
  <c r="AO42" i="4"/>
  <c r="AI89" i="5"/>
  <c r="Q27" i="8" s="1"/>
  <c r="AO44" i="4"/>
  <c r="J34" i="8" s="1"/>
  <c r="I33" i="8"/>
  <c r="AH26" i="4"/>
  <c r="AH32" i="4" s="1"/>
  <c r="AO45" i="4"/>
  <c r="J35" i="8" s="1"/>
  <c r="I35" i="8"/>
  <c r="AO41" i="4"/>
  <c r="AA46" i="4"/>
  <c r="AB46" i="4" s="1"/>
  <c r="W85" i="5" l="1"/>
  <c r="AB86" i="4"/>
  <c r="AM50" i="4"/>
  <c r="AH40" i="4"/>
  <c r="AO40" i="4" s="1"/>
  <c r="J32" i="8" s="1"/>
  <c r="AG49" i="4"/>
  <c r="AG50" i="4" s="1"/>
  <c r="AJ84" i="5"/>
  <c r="H24" i="8"/>
  <c r="AH86" i="4"/>
  <c r="I41" i="8"/>
  <c r="AI93" i="5"/>
  <c r="I42" i="8"/>
  <c r="AN43" i="4"/>
  <c r="K88" i="5"/>
  <c r="K89" i="5" s="1"/>
  <c r="M27" i="8" s="1"/>
  <c r="O25" i="8"/>
  <c r="N25" i="8"/>
  <c r="P25" i="8"/>
  <c r="AC85" i="5"/>
  <c r="Q85" i="5"/>
  <c r="V86" i="4"/>
  <c r="E36" i="8"/>
  <c r="G36" i="8"/>
  <c r="AO26" i="4"/>
  <c r="AO32" i="4" s="1"/>
  <c r="F36" i="8"/>
  <c r="AG46" i="4"/>
  <c r="AH46" i="4" s="1"/>
  <c r="AJ85" i="5" l="1"/>
  <c r="W86" i="5"/>
  <c r="W87" i="5" s="1"/>
  <c r="W88" i="5" s="1"/>
  <c r="AH49" i="4"/>
  <c r="H36" i="8" s="1"/>
  <c r="P87" i="4"/>
  <c r="P88" i="4" s="1"/>
  <c r="K98" i="4" s="1"/>
  <c r="Q86" i="5"/>
  <c r="AC86" i="5"/>
  <c r="AC87" i="5" s="1"/>
  <c r="J18" i="8"/>
  <c r="AN49" i="4"/>
  <c r="AN50" i="4" s="1"/>
  <c r="AI99" i="4" s="1"/>
  <c r="AO43" i="4"/>
  <c r="J33" i="8" s="1"/>
  <c r="E37" i="8"/>
  <c r="AO46" i="4"/>
  <c r="AB87" i="4" l="1"/>
  <c r="AB88" i="4" s="1"/>
  <c r="W98" i="4" s="1"/>
  <c r="W89" i="5"/>
  <c r="AH50" i="4"/>
  <c r="H37" i="8" s="1"/>
  <c r="K99" i="4"/>
  <c r="AO49" i="4"/>
  <c r="AO50" i="4" s="1"/>
  <c r="Q87" i="5"/>
  <c r="N26" i="8" s="1"/>
  <c r="AJ86" i="5"/>
  <c r="E41" i="8"/>
  <c r="K93" i="5"/>
  <c r="K91" i="5"/>
  <c r="O26" i="8"/>
  <c r="AC88" i="5"/>
  <c r="AC89" i="5" s="1"/>
  <c r="P26" i="8"/>
  <c r="I24" i="8"/>
  <c r="I36" i="8"/>
  <c r="G37" i="8"/>
  <c r="K100" i="4" l="1"/>
  <c r="K101" i="4" s="1"/>
  <c r="K102" i="4" s="1"/>
  <c r="Q88" i="5"/>
  <c r="Q89" i="5" s="1"/>
  <c r="Q91" i="5"/>
  <c r="V87" i="4"/>
  <c r="V88" i="4" s="1"/>
  <c r="Q98" i="4" s="1"/>
  <c r="Q93" i="5"/>
  <c r="AH87" i="4"/>
  <c r="AH88" i="4" s="1"/>
  <c r="P27" i="8"/>
  <c r="H41" i="8" s="1"/>
  <c r="AJ87" i="5"/>
  <c r="W93" i="5"/>
  <c r="N27" i="8"/>
  <c r="F41" i="8" s="1"/>
  <c r="E42" i="8"/>
  <c r="AI100" i="4"/>
  <c r="AI101" i="4" s="1"/>
  <c r="AI102" i="4" s="1"/>
  <c r="J26" i="8"/>
  <c r="J36" i="8"/>
  <c r="I37" i="8"/>
  <c r="AC99" i="4" l="1"/>
  <c r="AC98" i="4"/>
  <c r="AO98" i="4"/>
  <c r="Q99" i="4"/>
  <c r="Q100" i="4" s="1"/>
  <c r="AC93" i="5"/>
  <c r="W91" i="5"/>
  <c r="AC91" i="5" s="1"/>
  <c r="AI91" i="5" s="1"/>
  <c r="O27" i="8"/>
  <c r="AJ88" i="5"/>
  <c r="AJ89" i="5" s="1"/>
  <c r="H45" i="8"/>
  <c r="H42" i="8"/>
  <c r="F42" i="8"/>
  <c r="I46" i="8"/>
  <c r="I45" i="8"/>
  <c r="Q101" i="4" l="1"/>
  <c r="Q102" i="4" s="1"/>
  <c r="I47" i="8"/>
  <c r="J7" i="8"/>
  <c r="J6" i="8"/>
  <c r="J5" i="8"/>
  <c r="E45" i="8" l="1"/>
  <c r="E46" i="8" l="1"/>
  <c r="E47" i="8" l="1"/>
  <c r="V43" i="9" l="1"/>
  <c r="W21" i="9"/>
  <c r="AJ21" i="9" s="1"/>
  <c r="O33" i="8" l="1"/>
  <c r="AJ43" i="9" l="1"/>
  <c r="W81" i="9"/>
  <c r="O35" i="8" s="1"/>
  <c r="W82" i="9" l="1"/>
  <c r="W83" i="9" s="1"/>
  <c r="W84" i="9" s="1"/>
  <c r="W86" i="9" s="1"/>
  <c r="AC86" i="9" s="1"/>
  <c r="AC100" i="4" s="1"/>
  <c r="AO86" i="4" l="1"/>
  <c r="O36" i="8"/>
  <c r="AO87" i="4"/>
  <c r="AI86" i="9"/>
  <c r="O37" i="8"/>
  <c r="G41" i="8" s="1"/>
  <c r="J41" i="8" s="1"/>
  <c r="AO88" i="4" l="1"/>
  <c r="AC101" i="4"/>
  <c r="H46" i="8" l="1"/>
  <c r="AC102" i="4"/>
  <c r="H47" i="8" s="1"/>
  <c r="J42" i="8"/>
  <c r="W99" i="4"/>
  <c r="G42" i="8"/>
  <c r="W100" i="4" l="1"/>
  <c r="AO100" i="4" s="1"/>
  <c r="AO99" i="4"/>
  <c r="G45" i="8"/>
  <c r="W101" i="4" l="1"/>
  <c r="W102" i="4" s="1"/>
  <c r="G46" i="8" l="1"/>
  <c r="AO101" i="4"/>
  <c r="F14" i="8"/>
  <c r="G47" i="8" l="1"/>
  <c r="AO102" i="4"/>
  <c r="AO104" i="4" s="1"/>
  <c r="F24" i="8" l="1"/>
  <c r="J14" i="8"/>
  <c r="J37" i="8" l="1"/>
  <c r="J24" i="8"/>
  <c r="F37" i="8"/>
  <c r="F45" i="8" l="1"/>
  <c r="J45" i="8"/>
  <c r="F46" i="8" l="1"/>
  <c r="J46" i="8"/>
  <c r="F47" i="8" l="1"/>
  <c r="J47" i="8"/>
  <c r="R27" i="8"/>
  <c r="R23" i="8"/>
  <c r="R26" i="8"/>
  <c r="R25" i="8"/>
  <c r="R24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Kami Mcneill</author>
    <author>Anastasia Haggin</author>
  </authors>
  <commentList>
    <comment ref="P15" authorId="0" shapeId="0" xr:uid="{00000000-0006-0000-0100-000001000000}">
      <text>
        <r>
          <rPr>
            <sz val="12"/>
            <color rgb="FF000000"/>
            <rFont val="Tahoma"/>
            <family val="2"/>
          </rPr>
          <t>Click on + in header row to open outyears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F18" authorId="0" shapeId="0" xr:uid="{00000000-0006-0000-0100-000002000000}">
      <text>
        <r>
          <rPr>
            <sz val="14"/>
            <color rgb="FF000000"/>
            <rFont val="Tahoma"/>
            <family val="2"/>
          </rPr>
          <t>To budget based on an academic appointment, click on the + in the header to open the Academic and Summer columns. This will also require that the Calendar Months formula be adjusted to calculate based on the academic months.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N64" authorId="1" shapeId="0" xr:uid="{C45029B7-BD18-463A-A42C-ED357D8E809B}">
      <text>
        <r>
          <rPr>
            <b/>
            <sz val="9"/>
            <color indexed="81"/>
            <rFont val="Tahoma"/>
            <family val="2"/>
          </rPr>
          <t>Anastasia Haggin:</t>
        </r>
        <r>
          <rPr>
            <sz val="9"/>
            <color indexed="81"/>
            <rFont val="Tahoma"/>
            <family val="2"/>
          </rPr>
          <t xml:space="preserve">
$7000 was here. I removed it</t>
        </r>
      </text>
    </comment>
  </commentList>
</comments>
</file>

<file path=xl/sharedStrings.xml><?xml version="1.0" encoding="utf-8"?>
<sst xmlns="http://schemas.openxmlformats.org/spreadsheetml/2006/main" count="725" uniqueCount="265">
  <si>
    <t>Title:</t>
  </si>
  <si>
    <t>NOTES</t>
  </si>
  <si>
    <t>PI:</t>
  </si>
  <si>
    <t>Maximum of $3.1M total costs
Maximum period of performance is 4 years</t>
  </si>
  <si>
    <t>Type of Grant:</t>
  </si>
  <si>
    <t>Project Period:</t>
  </si>
  <si>
    <t>Sponsor:</t>
  </si>
  <si>
    <t>Due Date:</t>
  </si>
  <si>
    <t>PRIMARY SITE</t>
  </si>
  <si>
    <t>KEY PERSONNEL</t>
  </si>
  <si>
    <t>ROLE</t>
  </si>
  <si>
    <t>Total</t>
  </si>
  <si>
    <t>Institution</t>
  </si>
  <si>
    <t>USU/HJF</t>
  </si>
  <si>
    <t xml:space="preserve">PI </t>
  </si>
  <si>
    <t>Project Period</t>
  </si>
  <si>
    <t>TOTAL</t>
  </si>
  <si>
    <t>Personnel Costs</t>
  </si>
  <si>
    <t>SUBTOTAL KEY PERSONNEL</t>
  </si>
  <si>
    <t>Other Costs</t>
  </si>
  <si>
    <t>OTHER PERSONNEL</t>
  </si>
  <si>
    <t>Direct Costs</t>
  </si>
  <si>
    <t>Indirect Costs</t>
  </si>
  <si>
    <t>Total Costs</t>
  </si>
  <si>
    <t>U Penn</t>
  </si>
  <si>
    <t>SUBTOTAL OTHER PERSONNEL</t>
  </si>
  <si>
    <t>TOTAL PERSONNEL BUDGET</t>
  </si>
  <si>
    <t>OTHER DIRECT COSTS</t>
  </si>
  <si>
    <t xml:space="preserve">Travel </t>
  </si>
  <si>
    <t>Pittsburgh VA</t>
  </si>
  <si>
    <t>Participant Support (Patient care costs?)</t>
  </si>
  <si>
    <t>Subcontracts</t>
  </si>
  <si>
    <t>TOTAL OTHER</t>
  </si>
  <si>
    <t>TOTAL COSTS</t>
  </si>
  <si>
    <t>DIRECT COSTS</t>
  </si>
  <si>
    <t>INDIRECT COSTS</t>
  </si>
  <si>
    <t>Carla Dickinson</t>
  </si>
  <si>
    <t>DoD CDMRP Epilepsy Research Program Research Partnership Award</t>
  </si>
  <si>
    <t>MINUTE</t>
  </si>
  <si>
    <t>Mary Jo Pugh; David Tate</t>
  </si>
  <si>
    <t>Start Date:</t>
  </si>
  <si>
    <t># of Years:</t>
  </si>
  <si>
    <t xml:space="preserve">DoD  </t>
  </si>
  <si>
    <t>Salary Cap:</t>
  </si>
  <si>
    <t>None</t>
  </si>
  <si>
    <t>Benefit Rates</t>
  </si>
  <si>
    <t>F&amp;A</t>
  </si>
  <si>
    <t>Period</t>
  </si>
  <si>
    <t>Start Date</t>
  </si>
  <si>
    <t>End Date</t>
  </si>
  <si>
    <t>Faculty</t>
  </si>
  <si>
    <t>Year 1</t>
  </si>
  <si>
    <t>Grad Student</t>
  </si>
  <si>
    <t>Year 2</t>
  </si>
  <si>
    <t>Undergrad</t>
  </si>
  <si>
    <t>Year 3</t>
  </si>
  <si>
    <t>Post-Doc</t>
  </si>
  <si>
    <t>Year 4</t>
  </si>
  <si>
    <t>Staff</t>
  </si>
  <si>
    <t>Year 5</t>
  </si>
  <si>
    <t>Check with department since PD fringe with benefts would be 52% - BMI, PHS it is 52%</t>
  </si>
  <si>
    <t>OUTYEARS</t>
  </si>
  <si>
    <t>Budget per year</t>
  </si>
  <si>
    <t>Year 2
MM/DD/YYYY</t>
  </si>
  <si>
    <t>Year 3
MM/DD/YYYY</t>
  </si>
  <si>
    <t>Year 4
MM/DD/YYYY</t>
  </si>
  <si>
    <t>Year 5
MM/DD/YYYY</t>
  </si>
  <si>
    <t>Total All Years</t>
  </si>
  <si>
    <t>Name</t>
  </si>
  <si>
    <t>Project Role</t>
  </si>
  <si>
    <t>PD Yrs Exp</t>
  </si>
  <si>
    <t>Benefit Rate Category</t>
  </si>
  <si>
    <t>Benefit Rate</t>
  </si>
  <si>
    <t>Appt.</t>
  </si>
  <si>
    <t>FTE</t>
  </si>
  <si>
    <t>Salary</t>
  </si>
  <si>
    <t>Salary or NIH cap</t>
  </si>
  <si>
    <t>Calendar Months</t>
  </si>
  <si>
    <t>Effort</t>
  </si>
  <si>
    <t>Requested support</t>
  </si>
  <si>
    <t>Benefits</t>
  </si>
  <si>
    <t>Total salary + benefits</t>
  </si>
  <si>
    <t>Cal.</t>
  </si>
  <si>
    <t>Acad.</t>
  </si>
  <si>
    <t>Summ.</t>
  </si>
  <si>
    <t>Key Personnel</t>
  </si>
  <si>
    <t>Mary Jo Pugh</t>
  </si>
  <si>
    <t>Co-PI</t>
  </si>
  <si>
    <t>David Tate</t>
  </si>
  <si>
    <t>Co-I</t>
  </si>
  <si>
    <t>Elizabeth Wilde</t>
  </si>
  <si>
    <t>Angela Peters</t>
  </si>
  <si>
    <t>Total Key Personnel</t>
  </si>
  <si>
    <t>Other Personnel</t>
  </si>
  <si>
    <t>Eamonn</t>
  </si>
  <si>
    <t>Research Scientist</t>
  </si>
  <si>
    <t>Megan Amuan</t>
  </si>
  <si>
    <t>Data Manager</t>
  </si>
  <si>
    <t>Ben Wade</t>
  </si>
  <si>
    <t>Carmen</t>
  </si>
  <si>
    <t>Research Coordinator</t>
  </si>
  <si>
    <t>Spencer Erikson</t>
  </si>
  <si>
    <t>Clinical RC</t>
  </si>
  <si>
    <t>Silvia Padilla</t>
  </si>
  <si>
    <t>Database Analyst</t>
  </si>
  <si>
    <t>Andrea Kalvesmaki</t>
  </si>
  <si>
    <t>Research Associate</t>
  </si>
  <si>
    <t>Post Docs</t>
  </si>
  <si>
    <t>Graduate Students</t>
  </si>
  <si>
    <t>Undergraduate</t>
  </si>
  <si>
    <t>Total Other Personnel</t>
  </si>
  <si>
    <t xml:space="preserve">      Total Salary, Wages and Fringe Benefits</t>
  </si>
  <si>
    <t>Equipment Description ($5,000 or more)</t>
  </si>
  <si>
    <t>Research Specific Equipment</t>
  </si>
  <si>
    <t>Mac Pro Desktop Computer</t>
  </si>
  <si>
    <t xml:space="preserve">      Total Equipment</t>
  </si>
  <si>
    <t>Travel</t>
  </si>
  <si>
    <t>1. Domestic Travel Costs (incl. Canada, Mexico, and U.S. Possessions</t>
  </si>
  <si>
    <t>Research meeting *1  for both PI (2*1500=3000) + PI collaboration meeting</t>
  </si>
  <si>
    <t>Research meeting *1 ($1500)+ IPR (1500)+collaboration Pugh (2000 to USU); research meeting *2 Tate (3000)</t>
  </si>
  <si>
    <t>Research meeting *2 ($3000)+ IPR (1500)+collaboration Pugh (2000 to USU); research meeting *1 Tate (3000)</t>
  </si>
  <si>
    <t>Research meeting *2 ($5000)+ IPR (1500)+collaboration Pugh (2500 to USU); research meeting *2 Tate (5000)</t>
  </si>
  <si>
    <t>2. Foreign Travel Costs</t>
  </si>
  <si>
    <t xml:space="preserve">      Total Travel</t>
  </si>
  <si>
    <t>Participant/Trainee Support Costs</t>
  </si>
  <si>
    <t>1. incentive</t>
  </si>
  <si>
    <t>1b survey</t>
  </si>
  <si>
    <t>600 returns=$25000</t>
  </si>
  <si>
    <t>$25 per return plus drawing for 3 $500 gift cards and 10 $100 gift cards</t>
  </si>
  <si>
    <t>1c EMA</t>
  </si>
  <si>
    <t>EMA 600*$120/month</t>
  </si>
  <si>
    <t>1d EMA longitudinal</t>
  </si>
  <si>
    <t xml:space="preserve">EMA drawings quarterly: 5@$500; 10@100 </t>
  </si>
  <si>
    <t>EMA drawings quarterly X2: 10@$500; 20@100</t>
  </si>
  <si>
    <t>1e In Person Visit</t>
  </si>
  <si>
    <t>250*13 epilepsy</t>
  </si>
  <si>
    <t>250*37= 9250; 200*80=16000</t>
  </si>
  <si>
    <t>250*40=10000; 200*80=16000</t>
  </si>
  <si>
    <t>200*50=10,000</t>
  </si>
  <si>
    <t>Participant Travel</t>
  </si>
  <si>
    <t>1300*13 (10 in utah* $500)</t>
  </si>
  <si>
    <t>1300*117</t>
  </si>
  <si>
    <t>1400*120</t>
  </si>
  <si>
    <t>1300*50</t>
  </si>
  <si>
    <t xml:space="preserve">      Total Participant/Trainee Support Costs</t>
  </si>
  <si>
    <t>Other Direct Costs</t>
  </si>
  <si>
    <t>1. Materials and Supplies (list by type)</t>
  </si>
  <si>
    <t>2a. Ipads for neuropsych testing</t>
  </si>
  <si>
    <t>2@$600</t>
  </si>
  <si>
    <t>2. Laptop for RA + PI</t>
  </si>
  <si>
    <t>3. consumabale supplies</t>
  </si>
  <si>
    <t>4. Mailing</t>
  </si>
  <si>
    <t>400*6=2400 mailing</t>
  </si>
  <si>
    <t>8 per SESE and mailing * 2400</t>
  </si>
  <si>
    <t>Mail 600+ 120 @.55  incentive + drawing incentive</t>
  </si>
  <si>
    <t>120 each@.55 drawing incentive</t>
  </si>
  <si>
    <t>60*.55</t>
  </si>
  <si>
    <t>5. Printing</t>
  </si>
  <si>
    <t>VA only</t>
  </si>
  <si>
    <t>Surveys</t>
  </si>
  <si>
    <t>$1 @1000</t>
  </si>
  <si>
    <t>Scanning</t>
  </si>
  <si>
    <t>(120 years 2, 3; 60 year 4; $150 @</t>
  </si>
  <si>
    <t>13*150</t>
  </si>
  <si>
    <t>117*150</t>
  </si>
  <si>
    <t>120*150</t>
  </si>
  <si>
    <t>50*150</t>
  </si>
  <si>
    <t>EEG+lab fee</t>
  </si>
  <si>
    <t>1325*13</t>
  </si>
  <si>
    <t>$1275*37=47175</t>
  </si>
  <si>
    <t>117*50=5850</t>
  </si>
  <si>
    <t>1275*40</t>
  </si>
  <si>
    <t>120*50=6000</t>
  </si>
  <si>
    <t>50*50</t>
  </si>
  <si>
    <t>Licensing Fee</t>
  </si>
  <si>
    <t>Tate $500</t>
  </si>
  <si>
    <t>Tate 500; Pugh 1000</t>
  </si>
  <si>
    <t>6.  Neuropsych Testing Supplies</t>
  </si>
  <si>
    <t xml:space="preserve">7. EMA/survey platform </t>
  </si>
  <si>
    <t>9600 for 3 years of ema</t>
  </si>
  <si>
    <t>$5500 for Qualtrics</t>
  </si>
  <si>
    <r>
      <rPr>
        <sz val="11"/>
        <rFont val="Calibri"/>
        <family val="2"/>
        <scheme val="minor"/>
      </rPr>
      <t xml:space="preserve">      </t>
    </r>
    <r>
      <rPr>
        <u/>
        <sz val="11"/>
        <rFont val="Calibri"/>
        <family val="2"/>
        <scheme val="minor"/>
      </rPr>
      <t>Total Materials and Supplies</t>
    </r>
  </si>
  <si>
    <t>2. Publication Costs</t>
  </si>
  <si>
    <t>3. Consultant Services</t>
  </si>
  <si>
    <t>4. ADP/Computer Services</t>
  </si>
  <si>
    <t>Disk Space</t>
  </si>
  <si>
    <t>Total Consultant/Publication/Computer Svc</t>
  </si>
  <si>
    <r>
      <t>5. Subawards/Consortium/Contractual Costs(</t>
    </r>
    <r>
      <rPr>
        <b/>
        <sz val="11"/>
        <rFont val="Calibri"/>
        <family val="2"/>
        <scheme val="minor"/>
      </rPr>
      <t>Costs should be entered in subcontract tab</t>
    </r>
    <r>
      <rPr>
        <sz val="11"/>
        <rFont val="Calibri"/>
        <family val="2"/>
        <scheme val="minor"/>
      </rPr>
      <t>)</t>
    </r>
  </si>
  <si>
    <t xml:space="preserve">          Direct Costs</t>
  </si>
  <si>
    <t xml:space="preserve">          Indirect Costs</t>
  </si>
  <si>
    <r>
      <t xml:space="preserve">      </t>
    </r>
    <r>
      <rPr>
        <u/>
        <sz val="11"/>
        <rFont val="Calibri"/>
        <family val="2"/>
        <scheme val="minor"/>
      </rPr>
      <t>Total Subawards/Consortium/Contractual Costs</t>
    </r>
  </si>
  <si>
    <t>6. Equipment of Facility Rental/User Fees</t>
  </si>
  <si>
    <t>7. Alterations and Renovations</t>
  </si>
  <si>
    <t>8. Patient Care Costs</t>
  </si>
  <si>
    <t xml:space="preserve">          1. Inpatient</t>
  </si>
  <si>
    <t xml:space="preserve">          2. Outpatient</t>
  </si>
  <si>
    <r>
      <rPr>
        <sz val="11"/>
        <rFont val="Calibri"/>
        <family val="2"/>
        <scheme val="minor"/>
      </rPr>
      <t xml:space="preserve">      </t>
    </r>
    <r>
      <rPr>
        <u/>
        <sz val="11"/>
        <rFont val="Calibri"/>
        <family val="2"/>
        <scheme val="minor"/>
      </rPr>
      <t>Total Patient Care Costs</t>
    </r>
  </si>
  <si>
    <t xml:space="preserve">9. Other Costs </t>
  </si>
  <si>
    <t>10. Other Costs</t>
  </si>
  <si>
    <t>11. Other Costs</t>
  </si>
  <si>
    <t xml:space="preserve">     Total Other Direct Costs</t>
  </si>
  <si>
    <t>Total Direct Costs</t>
  </si>
  <si>
    <t>Modified Total Direct Costs</t>
  </si>
  <si>
    <t>TARGETS</t>
  </si>
  <si>
    <t>difference mainly due to $40K Consulting line</t>
  </si>
  <si>
    <t>Direct Costs Minus Consortium F&amp;A</t>
  </si>
  <si>
    <t>SUBCONTRACTS: The formulas for subcontract indirect and direct costs (rows 76 and 77), and the MTDC formula (row 90) will need to be updated if more than 3 subcontracts are included.</t>
  </si>
  <si>
    <t>Consortium PI:</t>
  </si>
  <si>
    <t>Kenney</t>
  </si>
  <si>
    <t>Consortium Institution:</t>
  </si>
  <si>
    <t>Salary or NIH salary cap</t>
  </si>
  <si>
    <t>Kim Kenney</t>
  </si>
  <si>
    <t>Site PI</t>
  </si>
  <si>
    <t>Jessica Gill</t>
  </si>
  <si>
    <t>Post-doc</t>
  </si>
  <si>
    <t>Technician</t>
  </si>
  <si>
    <t>Freezer + Installation</t>
  </si>
  <si>
    <t xml:space="preserve">Research/scientific </t>
  </si>
  <si>
    <t>1. Tuition/Fees/Health Insurance</t>
  </si>
  <si>
    <t>2. Stipends</t>
  </si>
  <si>
    <t>3. Travel</t>
  </si>
  <si>
    <t>4. Subsistence</t>
  </si>
  <si>
    <t>5. Other</t>
  </si>
  <si>
    <t>6. Scholarships</t>
  </si>
  <si>
    <t>Research Supplies</t>
  </si>
  <si>
    <t>1 Laptop for RA</t>
  </si>
  <si>
    <t>Lab supplies/ consumable supplies</t>
  </si>
  <si>
    <t>Shipping and Storage Containers</t>
  </si>
  <si>
    <t>DoD Serum Biorepository sample fee ($50/sample for 150 total)</t>
  </si>
  <si>
    <t>plasma and exosomal proteomics for 450 samples (4-plex, cytokine, VEGF, ptau231)</t>
  </si>
  <si>
    <t xml:space="preserve">CNS-dervied exosome extractn for 225 samples @ 1 mL each and $93/sample	</t>
  </si>
  <si>
    <t>5. Subawards/Consortium/Contractual Costs</t>
  </si>
  <si>
    <t>USU offsite 3.88%</t>
  </si>
  <si>
    <t>Companywide G&amp;A HFG. 16.9%</t>
  </si>
  <si>
    <t>Total Indirects</t>
  </si>
  <si>
    <t>Included in U of U IDC Base</t>
  </si>
  <si>
    <t>VanCott</t>
  </si>
  <si>
    <t>Pittsburgh VA foundation</t>
  </si>
  <si>
    <t>Anne VanCott</t>
  </si>
  <si>
    <t>Diaz-Arrastia</t>
  </si>
  <si>
    <t>Ramon Diaz-Arrastia</t>
  </si>
  <si>
    <t>Partnering PI</t>
  </si>
  <si>
    <t>bl</t>
  </si>
  <si>
    <t>Undergraduate Research Assistant</t>
  </si>
  <si>
    <t>TO SLC</t>
  </si>
  <si>
    <t>To Meeting</t>
  </si>
  <si>
    <t>Laptop for PI</t>
  </si>
  <si>
    <t>Laptop + peripheral+monitor</t>
  </si>
  <si>
    <t>consumable supplies</t>
  </si>
  <si>
    <t>Post Doc Stipends FY18</t>
  </si>
  <si>
    <t>NOT-OD-18-175</t>
  </si>
  <si>
    <t>Years of Experience</t>
  </si>
  <si>
    <t>Stipend for FY18</t>
  </si>
  <si>
    <t>Post Doc Stipends FY17</t>
  </si>
  <si>
    <t>Stipend for FY17</t>
  </si>
  <si>
    <t>Salary Caps</t>
  </si>
  <si>
    <t>DHHS</t>
  </si>
  <si>
    <t>*New cap as of 02/01/2020</t>
  </si>
  <si>
    <t>DHHS applies to CDC, HRSA, AHRQ and a few more: https://www.hhs.gov/about/agencies/orgchart/index.html?language=es</t>
  </si>
  <si>
    <t>PCORI</t>
  </si>
  <si>
    <t>3/7/18 NOT-OD-18-137 - new NIH Cap Notice</t>
  </si>
  <si>
    <t>Post Doc Stipends FY16 (reference only - do not use!)</t>
  </si>
  <si>
    <t>Stipend for FY16</t>
  </si>
  <si>
    <t>as of 7/1/16</t>
  </si>
  <si>
    <t>as of 7/1/17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</si>
</sst>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_(&quot;$&quot;* #,##0.0_);_(&quot;$&quot;* \(#,##0.0\);_(&quot;$&quot;* &quot;-&quot;??_);_(@_)"/>
  </numFmts>
  <fonts count="4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4"/>
      <color rgb="FFC00000"/>
      <name val="Calibri"/>
      <family val="2"/>
      <scheme val="minor"/>
    </font>
    <font>
      <b/>
      <u/>
      <sz val="14"/>
      <color theme="9" tint="-0.249977111117893"/>
      <name val="Calibri"/>
      <family val="2"/>
      <scheme val="minor"/>
    </font>
    <font>
      <b/>
      <u/>
      <sz val="14"/>
      <color rgb="FFC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rgb="FF000000"/>
      <name val="Tahoma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</fills>
  <borders count="14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1454817346722"/>
      </bottom>
      <diagonal/>
    </border>
    <border>
      <left/>
      <right/>
      <top style="thin">
        <color theme="6" tint="0.39994506668294322"/>
      </top>
      <bottom style="thin">
        <color theme="6" tint="0.39991454817346722"/>
      </bottom>
      <diagonal/>
    </border>
    <border>
      <left style="medium">
        <color theme="6" tint="-0.24994659260841701"/>
      </left>
      <right/>
      <top style="medium">
        <color theme="6" tint="-0.24994659260841701"/>
      </top>
      <bottom/>
      <diagonal/>
    </border>
    <border>
      <left style="thin">
        <color theme="6" tint="0.39994506668294322"/>
      </left>
      <right/>
      <top style="medium">
        <color theme="6" tint="-0.24994659260841701"/>
      </top>
      <bottom style="thin">
        <color theme="6" tint="0.39994506668294322"/>
      </bottom>
      <diagonal/>
    </border>
    <border>
      <left/>
      <right/>
      <top style="medium">
        <color theme="6" tint="-0.24994659260841701"/>
      </top>
      <bottom style="thin">
        <color theme="6" tint="0.39994506668294322"/>
      </bottom>
      <diagonal/>
    </border>
    <border>
      <left style="medium">
        <color theme="6" tint="-0.24994659260841701"/>
      </left>
      <right/>
      <top/>
      <bottom/>
      <diagonal/>
    </border>
    <border>
      <left/>
      <right style="medium">
        <color theme="6" tint="-0.24994659260841701"/>
      </right>
      <top style="thin">
        <color theme="6" tint="0.39994506668294322"/>
      </top>
      <bottom style="thin">
        <color theme="6" tint="0.39991454817346722"/>
      </bottom>
      <diagonal/>
    </border>
    <border>
      <left/>
      <right style="medium">
        <color theme="6" tint="-0.24994659260841701"/>
      </right>
      <top/>
      <bottom/>
      <diagonal/>
    </border>
    <border>
      <left style="thin">
        <color theme="6" tint="0.39994506668294322"/>
      </left>
      <right style="medium">
        <color theme="6" tint="-0.24994659260841701"/>
      </right>
      <top style="thin">
        <color theme="6" tint="0.39994506668294322"/>
      </top>
      <bottom style="thin">
        <color theme="6" tint="0.39994506668294322"/>
      </bottom>
      <diagonal/>
    </border>
    <border>
      <left style="medium">
        <color theme="6" tint="-0.24994659260841701"/>
      </left>
      <right/>
      <top/>
      <bottom style="medium">
        <color theme="6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 style="thin">
        <color theme="4" tint="0.39994506668294322"/>
      </left>
      <right/>
      <top style="medium">
        <color theme="4" tint="-0.24994659260841701"/>
      </top>
      <bottom style="thin">
        <color theme="4" tint="0.39994506668294322"/>
      </bottom>
      <diagonal/>
    </border>
    <border>
      <left/>
      <right/>
      <top style="medium">
        <color theme="4" tint="-0.24994659260841701"/>
      </top>
      <bottom style="thin">
        <color theme="4" tint="0.39994506668294322"/>
      </bottom>
      <diagonal/>
    </border>
    <border>
      <left style="medium">
        <color theme="4" tint="-0.24994659260841701"/>
      </left>
      <right/>
      <top/>
      <bottom/>
      <diagonal/>
    </border>
    <border>
      <left/>
      <right style="medium">
        <color theme="4" tint="-0.24994659260841701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 style="medium">
        <color theme="4" tint="-0.24994659260841701"/>
      </right>
      <top/>
      <bottom/>
      <diagonal/>
    </border>
    <border>
      <left style="thin">
        <color theme="4" tint="0.39994506668294322"/>
      </left>
      <right style="medium">
        <color theme="4" tint="-0.24994659260841701"/>
      </right>
      <top style="thin">
        <color theme="4" tint="0.39994506668294322"/>
      </top>
      <bottom style="thin">
        <color theme="4" tint="0.39994506668294322"/>
      </bottom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5" tint="0.39994506668294322"/>
      </left>
      <right/>
      <top style="thin">
        <color theme="5" tint="0.39994506668294322"/>
      </top>
      <bottom style="thin">
        <color theme="5" tint="0.39994506668294322"/>
      </bottom>
      <diagonal/>
    </border>
    <border>
      <left/>
      <right/>
      <top style="thin">
        <color theme="5" tint="0.39994506668294322"/>
      </top>
      <bottom style="thin">
        <color theme="5" tint="0.39994506668294322"/>
      </bottom>
      <diagonal/>
    </border>
    <border>
      <left style="medium">
        <color theme="5" tint="-0.24994659260841701"/>
      </left>
      <right/>
      <top style="medium">
        <color theme="5" tint="-0.24994659260841701"/>
      </top>
      <bottom/>
      <diagonal/>
    </border>
    <border>
      <left style="thin">
        <color theme="5" tint="0.39994506668294322"/>
      </left>
      <right/>
      <top style="medium">
        <color theme="5" tint="-0.24994659260841701"/>
      </top>
      <bottom style="thin">
        <color theme="5" tint="0.39994506668294322"/>
      </bottom>
      <diagonal/>
    </border>
    <border>
      <left/>
      <right/>
      <top style="medium">
        <color theme="5" tint="-0.24994659260841701"/>
      </top>
      <bottom style="thin">
        <color theme="5" tint="0.39994506668294322"/>
      </bottom>
      <diagonal/>
    </border>
    <border>
      <left style="medium">
        <color theme="5" tint="-0.24994659260841701"/>
      </left>
      <right/>
      <top/>
      <bottom/>
      <diagonal/>
    </border>
    <border>
      <left/>
      <right style="medium">
        <color theme="5" tint="-0.24994659260841701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 style="medium">
        <color theme="5" tint="-0.24994659260841701"/>
      </right>
      <top/>
      <bottom/>
      <diagonal/>
    </border>
    <border>
      <left style="thin">
        <color theme="5" tint="0.39994506668294322"/>
      </left>
      <right style="medium">
        <color theme="5" tint="-0.24994659260841701"/>
      </right>
      <top style="thin">
        <color theme="5" tint="0.39994506668294322"/>
      </top>
      <bottom style="thin">
        <color theme="5" tint="0.39994506668294322"/>
      </bottom>
      <diagonal/>
    </border>
    <border>
      <left style="medium">
        <color theme="5" tint="-0.24994659260841701"/>
      </left>
      <right/>
      <top/>
      <bottom style="medium">
        <color theme="5" tint="-0.24994659260841701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/>
      <right/>
      <top style="thin">
        <color theme="9" tint="0.39994506668294322"/>
      </top>
      <bottom/>
      <diagonal/>
    </border>
    <border>
      <left/>
      <right/>
      <top style="thin">
        <color theme="9" tint="0.39994506668294322"/>
      </top>
      <bottom style="thin">
        <color theme="9" tint="0.39991454817346722"/>
      </bottom>
      <diagonal/>
    </border>
    <border>
      <left/>
      <right style="thin">
        <color theme="9" tint="0.39991454817346722"/>
      </right>
      <top style="thin">
        <color theme="9" tint="0.39994506668294322"/>
      </top>
      <bottom style="thin">
        <color theme="9" tint="0.39991454817346722"/>
      </bottom>
      <diagonal/>
    </border>
    <border>
      <left/>
      <right/>
      <top style="thin">
        <color theme="9" tint="0.39991454817346722"/>
      </top>
      <bottom style="thin">
        <color theme="9" tint="0.39988402966399123"/>
      </bottom>
      <diagonal/>
    </border>
    <border>
      <left/>
      <right style="thin">
        <color theme="9" tint="0.39988402966399123"/>
      </right>
      <top style="thin">
        <color theme="9" tint="0.39991454817346722"/>
      </top>
      <bottom style="thin">
        <color theme="9" tint="0.39988402966399123"/>
      </bottom>
      <diagonal/>
    </border>
    <border>
      <left/>
      <right/>
      <top style="thin">
        <color theme="9" tint="0.39988402966399123"/>
      </top>
      <bottom style="thin">
        <color theme="9" tint="0.39988402966399123"/>
      </bottom>
      <diagonal/>
    </border>
    <border>
      <left/>
      <right style="thin">
        <color theme="9" tint="0.39988402966399123"/>
      </right>
      <top style="thin">
        <color theme="9" tint="0.39988402966399123"/>
      </top>
      <bottom style="thin">
        <color theme="9" tint="0.39988402966399123"/>
      </bottom>
      <diagonal/>
    </border>
    <border>
      <left/>
      <right style="thin">
        <color theme="9" tint="0.39994506668294322"/>
      </right>
      <top/>
      <bottom/>
      <diagonal/>
    </border>
    <border>
      <left/>
      <right style="thin">
        <color theme="9" tint="0.39994506668294322"/>
      </right>
      <top/>
      <bottom style="thin">
        <color theme="9" tint="0.3999450666829432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/>
      <top style="medium">
        <color theme="9" tint="-0.499984740745262"/>
      </top>
      <bottom/>
      <diagonal/>
    </border>
    <border>
      <left/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/>
      <right style="medium">
        <color theme="9" tint="-0.499984740745262"/>
      </right>
      <top/>
      <bottom/>
      <diagonal/>
    </border>
    <border>
      <left style="thin">
        <color theme="9" tint="0.39994506668294322"/>
      </left>
      <right style="medium">
        <color theme="9" tint="-0.499984740745262"/>
      </right>
      <top style="thin">
        <color theme="9" tint="0.39994506668294322"/>
      </top>
      <bottom style="thin">
        <color theme="9" tint="0.39994506668294322"/>
      </bottom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/>
      <top/>
      <bottom style="medium">
        <color theme="9" tint="-0.499984740745262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medium">
        <color theme="9" tint="-0.499984740745262"/>
      </bottom>
      <diagonal/>
    </border>
    <border>
      <left style="thin">
        <color theme="9" tint="0.39994506668294322"/>
      </left>
      <right style="medium">
        <color theme="9" tint="-0.499984740745262"/>
      </right>
      <top style="thin">
        <color theme="9" tint="0.39994506668294322"/>
      </top>
      <bottom style="medium">
        <color theme="9" tint="-0.499984740745262"/>
      </bottom>
      <diagonal/>
    </border>
    <border>
      <left/>
      <right style="thin">
        <color theme="9" tint="0.39994506668294322"/>
      </right>
      <top style="medium">
        <color theme="9" tint="-0.499984740745262"/>
      </top>
      <bottom/>
      <diagonal/>
    </border>
    <border>
      <left/>
      <right/>
      <top style="medium">
        <color theme="9" tint="-0.499984740745262"/>
      </top>
      <bottom style="thin">
        <color theme="9" tint="0.39994506668294322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 style="thin">
        <color theme="9" tint="0.39994506668294322"/>
      </bottom>
      <diagonal/>
    </border>
    <border>
      <left style="medium">
        <color theme="9" tint="-0.499984740745262"/>
      </left>
      <right/>
      <top/>
      <bottom style="thin">
        <color theme="9" tint="0.39994506668294322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thin">
        <color theme="4" tint="0.39994506668294322"/>
      </bottom>
      <diagonal/>
    </border>
    <border>
      <left/>
      <right style="medium">
        <color theme="6" tint="-0.24994659260841701"/>
      </right>
      <top style="medium">
        <color theme="6" tint="-0.24994659260841701"/>
      </top>
      <bottom style="thin">
        <color theme="6" tint="0.39994506668294322"/>
      </bottom>
      <diagonal/>
    </border>
    <border>
      <left/>
      <right style="medium">
        <color theme="5" tint="-0.24994659260841701"/>
      </right>
      <top style="medium">
        <color theme="5" tint="-0.24994659260841701"/>
      </top>
      <bottom style="thin">
        <color theme="5" tint="0.39994506668294322"/>
      </bottom>
      <diagonal/>
    </border>
    <border>
      <left style="thin">
        <color theme="6" tint="0.39994506668294322"/>
      </left>
      <right/>
      <top style="thin">
        <color theme="6" tint="0.39991454817346722"/>
      </top>
      <bottom style="thin">
        <color theme="6" tint="0.39994506668294322"/>
      </bottom>
      <diagonal/>
    </border>
    <border>
      <left/>
      <right/>
      <top style="thin">
        <color theme="6" tint="0.39991454817346722"/>
      </top>
      <bottom style="thin">
        <color theme="6" tint="0.39994506668294322"/>
      </bottom>
      <diagonal/>
    </border>
    <border>
      <left/>
      <right style="medium">
        <color theme="6" tint="-0.24994659260841701"/>
      </right>
      <top style="thin">
        <color theme="6" tint="0.39991454817346722"/>
      </top>
      <bottom style="thin">
        <color theme="6" tint="0.39994506668294322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/>
      <top style="thin">
        <color theme="0" tint="-0.24994659260841701"/>
      </top>
      <bottom style="medium">
        <color auto="1"/>
      </bottom>
      <diagonal/>
    </border>
    <border>
      <left/>
      <right/>
      <top style="thin">
        <color theme="0" tint="-0.24994659260841701"/>
      </top>
      <bottom style="medium">
        <color auto="1"/>
      </bottom>
      <diagonal/>
    </border>
    <border>
      <left/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auto="1"/>
      </right>
      <top/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medium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auto="1"/>
      </left>
      <right/>
      <top/>
      <bottom style="thin">
        <color theme="0" tint="-0.14996795556505021"/>
      </bottom>
      <diagonal/>
    </border>
    <border>
      <left/>
      <right style="medium">
        <color auto="1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medium">
        <color auto="1"/>
      </left>
      <right/>
      <top style="thin">
        <color theme="0" tint="-0.14996795556505021"/>
      </top>
      <bottom/>
      <diagonal/>
    </border>
    <border>
      <left/>
      <right style="medium">
        <color auto="1"/>
      </right>
      <top style="thin">
        <color theme="0" tint="-0.14996795556505021"/>
      </top>
      <bottom/>
      <diagonal/>
    </border>
    <border>
      <left style="medium">
        <color auto="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auto="1"/>
      </right>
      <top style="thin">
        <color theme="0" tint="-0.24994659260841701"/>
      </top>
      <bottom/>
      <diagonal/>
    </border>
    <border>
      <left style="thin">
        <color theme="9" tint="0.39994506668294322"/>
      </left>
      <right/>
      <top style="thin">
        <color theme="9" tint="0.39988402966399123"/>
      </top>
      <bottom style="thin">
        <color theme="9" tint="0.39988402966399123"/>
      </bottom>
      <diagonal/>
    </border>
    <border>
      <left style="medium">
        <color auto="1"/>
      </left>
      <right/>
      <top style="medium">
        <color auto="1"/>
      </top>
      <bottom style="thin">
        <color theme="0" tint="-0.14996795556505021"/>
      </bottom>
      <diagonal/>
    </border>
    <border>
      <left/>
      <right/>
      <top style="medium">
        <color auto="1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 style="medium">
        <color auto="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 style="medium">
        <color auto="1"/>
      </left>
      <right/>
      <top style="thin">
        <color theme="0" tint="-0.24994659260841701"/>
      </top>
      <bottom style="medium">
        <color theme="1"/>
      </bottom>
      <diagonal/>
    </border>
    <border>
      <left/>
      <right/>
      <top style="thin">
        <color theme="0" tint="-0.24994659260841701"/>
      </top>
      <bottom style="medium">
        <color theme="1"/>
      </bottom>
      <diagonal/>
    </border>
    <border>
      <left/>
      <right style="medium">
        <color auto="1"/>
      </right>
      <top style="thin">
        <color theme="0" tint="-0.24994659260841701"/>
      </top>
      <bottom style="medium">
        <color theme="1"/>
      </bottom>
      <diagonal/>
    </border>
    <border>
      <left/>
      <right style="medium">
        <color auto="1"/>
      </right>
      <top style="medium">
        <color auto="1"/>
      </top>
      <bottom style="thin">
        <color theme="0" tint="-0.14996795556505021"/>
      </bottom>
      <diagonal/>
    </border>
    <border>
      <left style="thin">
        <color theme="9" tint="0.39991454817346722"/>
      </left>
      <right style="medium">
        <color theme="9" tint="-0.499984740745262"/>
      </right>
      <top style="thin">
        <color theme="9" tint="0.39994506668294322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4506668294322"/>
      </top>
      <bottom style="thin">
        <color theme="9" tint="0.39991454817346722"/>
      </bottom>
      <diagonal/>
    </border>
    <border>
      <left/>
      <right style="medium">
        <color theme="9" tint="-0.499984740745262"/>
      </right>
      <top style="thin">
        <color theme="9" tint="0.39994506668294322"/>
      </top>
      <bottom style="medium">
        <color theme="9" tint="-0.499984740745262"/>
      </bottom>
      <diagonal/>
    </border>
    <border>
      <left/>
      <right/>
      <top style="thin">
        <color theme="9" tint="0.39994506668294322"/>
      </top>
      <bottom style="medium">
        <color theme="9" tint="-0.499984740745262"/>
      </bottom>
      <diagonal/>
    </border>
    <border>
      <left/>
      <right style="medium">
        <color theme="5" tint="-0.24994659260841701"/>
      </right>
      <top style="thin">
        <color theme="5" tint="0.39994506668294322"/>
      </top>
      <bottom style="medium">
        <color theme="5" tint="-0.24994659260841701"/>
      </bottom>
      <diagonal/>
    </border>
    <border>
      <left/>
      <right/>
      <top style="thin">
        <color theme="5" tint="0.39994506668294322"/>
      </top>
      <bottom style="medium">
        <color theme="5" tint="-0.24994659260841701"/>
      </bottom>
      <diagonal/>
    </border>
    <border>
      <left/>
      <right/>
      <top style="thin">
        <color theme="6" tint="0.39994506668294322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 style="thin">
        <color theme="6" tint="0.39994506668294322"/>
      </top>
      <bottom style="medium">
        <color theme="6" tint="-0.24994659260841701"/>
      </bottom>
      <diagonal/>
    </border>
    <border>
      <left/>
      <right/>
      <top style="thin">
        <color theme="4" tint="0.39994506668294322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 style="thin">
        <color theme="4" tint="0.39994506668294322"/>
      </top>
      <bottom style="medium">
        <color theme="4" tint="-0.24994659260841701"/>
      </bottom>
      <diagonal/>
    </border>
    <border>
      <left style="medium">
        <color indexed="64"/>
      </left>
      <right/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10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3" fontId="0" fillId="0" borderId="2" xfId="0" applyNumberFormat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9" fillId="0" borderId="13" xfId="15" applyFont="1" applyBorder="1" applyAlignment="1">
      <alignment horizontal="left" vertical="center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0" fontId="9" fillId="2" borderId="3" xfId="15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3" fontId="0" fillId="2" borderId="4" xfId="0" applyNumberForma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9" fillId="0" borderId="14" xfId="15" applyFont="1" applyBorder="1" applyAlignment="1">
      <alignment horizontal="left" vertical="center"/>
    </xf>
    <xf numFmtId="0" fontId="9" fillId="2" borderId="4" xfId="15" applyFont="1" applyFill="1" applyBorder="1" applyAlignment="1">
      <alignment horizontal="left" vertical="center"/>
    </xf>
    <xf numFmtId="9" fontId="0" fillId="0" borderId="0" xfId="17" applyFont="1" applyAlignment="1">
      <alignment vertical="center"/>
    </xf>
    <xf numFmtId="9" fontId="0" fillId="0" borderId="0" xfId="17" applyFont="1" applyFill="1" applyAlignment="1">
      <alignment vertical="center"/>
    </xf>
    <xf numFmtId="9" fontId="0" fillId="0" borderId="0" xfId="17" applyFont="1" applyBorder="1" applyAlignment="1">
      <alignment vertical="center"/>
    </xf>
    <xf numFmtId="9" fontId="2" fillId="2" borderId="4" xfId="17" applyFont="1" applyFill="1" applyBorder="1" applyAlignment="1">
      <alignment vertical="center"/>
    </xf>
    <xf numFmtId="9" fontId="0" fillId="0" borderId="14" xfId="17" applyFont="1" applyBorder="1" applyAlignment="1">
      <alignment vertical="center"/>
    </xf>
    <xf numFmtId="9" fontId="0" fillId="0" borderId="0" xfId="17" applyFont="1" applyFill="1" applyBorder="1" applyAlignment="1">
      <alignment vertical="center"/>
    </xf>
    <xf numFmtId="2" fontId="0" fillId="0" borderId="0" xfId="0" applyNumberFormat="1" applyAlignment="1">
      <alignment vertical="center"/>
    </xf>
    <xf numFmtId="0" fontId="15" fillId="2" borderId="9" xfId="0" applyFont="1" applyFill="1" applyBorder="1" applyAlignment="1">
      <alignment horizontal="left" vertical="center"/>
    </xf>
    <xf numFmtId="0" fontId="15" fillId="2" borderId="10" xfId="0" applyFont="1" applyFill="1" applyBorder="1" applyAlignment="1">
      <alignment horizontal="left" vertical="center"/>
    </xf>
    <xf numFmtId="3" fontId="15" fillId="2" borderId="10" xfId="0" applyNumberFormat="1" applyFont="1" applyFill="1" applyBorder="1" applyAlignment="1">
      <alignment vertical="center"/>
    </xf>
    <xf numFmtId="9" fontId="15" fillId="2" borderId="10" xfId="17" applyFont="1" applyFill="1" applyBorder="1" applyAlignment="1">
      <alignment vertical="center"/>
    </xf>
    <xf numFmtId="3" fontId="15" fillId="2" borderId="11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7" fillId="2" borderId="9" xfId="0" applyFont="1" applyFill="1" applyBorder="1" applyAlignment="1">
      <alignment horizontal="left" vertical="center"/>
    </xf>
    <xf numFmtId="0" fontId="17" fillId="2" borderId="10" xfId="0" applyFont="1" applyFill="1" applyBorder="1" applyAlignment="1">
      <alignment horizontal="left" vertical="center"/>
    </xf>
    <xf numFmtId="3" fontId="17" fillId="2" borderId="10" xfId="0" applyNumberFormat="1" applyFont="1" applyFill="1" applyBorder="1" applyAlignment="1">
      <alignment vertical="center"/>
    </xf>
    <xf numFmtId="9" fontId="17" fillId="2" borderId="10" xfId="17" applyFont="1" applyFill="1" applyBorder="1" applyAlignment="1">
      <alignment vertical="center"/>
    </xf>
    <xf numFmtId="3" fontId="17" fillId="2" borderId="11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21" fillId="2" borderId="10" xfId="0" applyFont="1" applyFill="1" applyBorder="1" applyAlignment="1">
      <alignment horizontal="left" vertical="center"/>
    </xf>
    <xf numFmtId="0" fontId="20" fillId="0" borderId="0" xfId="0" applyFont="1" applyAlignment="1">
      <alignment vertical="center"/>
    </xf>
    <xf numFmtId="3" fontId="19" fillId="2" borderId="11" xfId="0" applyNumberFormat="1" applyFont="1" applyFill="1" applyBorder="1" applyAlignment="1">
      <alignment vertical="center"/>
    </xf>
    <xf numFmtId="9" fontId="19" fillId="2" borderId="10" xfId="17" applyFont="1" applyFill="1" applyBorder="1" applyAlignment="1">
      <alignment vertical="center"/>
    </xf>
    <xf numFmtId="3" fontId="19" fillId="2" borderId="10" xfId="0" applyNumberFormat="1" applyFont="1" applyFill="1" applyBorder="1" applyAlignment="1">
      <alignment vertical="center"/>
    </xf>
    <xf numFmtId="0" fontId="19" fillId="2" borderId="10" xfId="0" applyFont="1" applyFill="1" applyBorder="1" applyAlignment="1">
      <alignment horizontal="left" vertical="center"/>
    </xf>
    <xf numFmtId="3" fontId="21" fillId="2" borderId="10" xfId="0" applyNumberFormat="1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23" fillId="2" borderId="9" xfId="0" applyFont="1" applyFill="1" applyBorder="1" applyAlignment="1">
      <alignment horizontal="left" vertical="center"/>
    </xf>
    <xf numFmtId="0" fontId="24" fillId="2" borderId="9" xfId="0" applyFont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3" fontId="21" fillId="2" borderId="3" xfId="0" applyNumberFormat="1" applyFont="1" applyFill="1" applyBorder="1" applyAlignment="1">
      <alignment vertical="center"/>
    </xf>
    <xf numFmtId="2" fontId="21" fillId="2" borderId="4" xfId="0" applyNumberFormat="1" applyFont="1" applyFill="1" applyBorder="1" applyAlignment="1">
      <alignment vertical="center"/>
    </xf>
    <xf numFmtId="9" fontId="21" fillId="2" borderId="4" xfId="17" applyFont="1" applyFill="1" applyBorder="1" applyAlignment="1">
      <alignment vertical="center"/>
    </xf>
    <xf numFmtId="3" fontId="21" fillId="2" borderId="4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/>
    </xf>
    <xf numFmtId="2" fontId="2" fillId="2" borderId="4" xfId="0" applyNumberFormat="1" applyFont="1" applyFill="1" applyBorder="1" applyAlignment="1">
      <alignment vertical="center"/>
    </xf>
    <xf numFmtId="3" fontId="19" fillId="2" borderId="9" xfId="0" applyNumberFormat="1" applyFont="1" applyFill="1" applyBorder="1" applyAlignment="1">
      <alignment vertical="center"/>
    </xf>
    <xf numFmtId="2" fontId="19" fillId="2" borderId="10" xfId="0" applyNumberFormat="1" applyFont="1" applyFill="1" applyBorder="1" applyAlignment="1">
      <alignment vertical="center"/>
    </xf>
    <xf numFmtId="3" fontId="15" fillId="2" borderId="9" xfId="0" applyNumberFormat="1" applyFont="1" applyFill="1" applyBorder="1" applyAlignment="1">
      <alignment vertical="center"/>
    </xf>
    <xf numFmtId="2" fontId="15" fillId="2" borderId="10" xfId="0" applyNumberFormat="1" applyFont="1" applyFill="1" applyBorder="1" applyAlignment="1">
      <alignment vertical="center"/>
    </xf>
    <xf numFmtId="3" fontId="17" fillId="2" borderId="9" xfId="0" applyNumberFormat="1" applyFont="1" applyFill="1" applyBorder="1" applyAlignment="1">
      <alignment vertical="center"/>
    </xf>
    <xf numFmtId="2" fontId="17" fillId="2" borderId="10" xfId="0" applyNumberFormat="1" applyFont="1" applyFill="1" applyBorder="1" applyAlignment="1">
      <alignment vertical="center"/>
    </xf>
    <xf numFmtId="0" fontId="0" fillId="0" borderId="13" xfId="0" applyBorder="1" applyAlignment="1">
      <alignment vertical="center" wrapText="1"/>
    </xf>
    <xf numFmtId="9" fontId="12" fillId="0" borderId="0" xfId="17" applyFont="1" applyAlignment="1">
      <alignment vertical="center"/>
    </xf>
    <xf numFmtId="164" fontId="12" fillId="6" borderId="2" xfId="17" applyNumberFormat="1" applyFont="1" applyFill="1" applyBorder="1" applyAlignment="1">
      <alignment horizontal="left" vertical="center"/>
    </xf>
    <xf numFmtId="9" fontId="0" fillId="6" borderId="0" xfId="0" applyNumberFormat="1" applyFill="1" applyAlignment="1">
      <alignment horizontal="left" vertical="center"/>
    </xf>
    <xf numFmtId="9" fontId="12" fillId="6" borderId="0" xfId="17" applyFont="1" applyFill="1" applyBorder="1" applyAlignment="1">
      <alignment horizontal="left" vertical="center"/>
    </xf>
    <xf numFmtId="9" fontId="12" fillId="6" borderId="4" xfId="17" applyFont="1" applyFill="1" applyBorder="1" applyAlignment="1">
      <alignment horizontal="left" vertical="center"/>
    </xf>
    <xf numFmtId="164" fontId="12" fillId="6" borderId="5" xfId="17" applyNumberFormat="1" applyFont="1" applyFill="1" applyBorder="1" applyAlignment="1">
      <alignment horizontal="left" vertical="center"/>
    </xf>
    <xf numFmtId="2" fontId="0" fillId="0" borderId="14" xfId="0" applyNumberFormat="1" applyBorder="1" applyAlignment="1">
      <alignment vertical="center" wrapText="1"/>
    </xf>
    <xf numFmtId="9" fontId="12" fillId="0" borderId="14" xfId="17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9" fontId="12" fillId="0" borderId="0" xfId="17" applyFont="1" applyFill="1" applyBorder="1" applyAlignment="1">
      <alignment vertical="center"/>
    </xf>
    <xf numFmtId="3" fontId="0" fillId="0" borderId="1" xfId="0" applyNumberFormat="1" applyBorder="1" applyAlignment="1">
      <alignment vertical="center"/>
    </xf>
    <xf numFmtId="9" fontId="12" fillId="0" borderId="0" xfId="17" applyFont="1" applyBorder="1" applyAlignment="1">
      <alignment vertical="center"/>
    </xf>
    <xf numFmtId="3" fontId="0" fillId="6" borderId="2" xfId="0" applyNumberFormat="1" applyFill="1" applyBorder="1" applyAlignment="1">
      <alignment vertical="center"/>
    </xf>
    <xf numFmtId="0" fontId="21" fillId="2" borderId="4" xfId="0" applyFont="1" applyFill="1" applyBorder="1" applyAlignment="1">
      <alignment horizontal="left" vertical="center"/>
    </xf>
    <xf numFmtId="3" fontId="0" fillId="0" borderId="0" xfId="0" applyNumberFormat="1"/>
    <xf numFmtId="3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9" fontId="2" fillId="0" borderId="0" xfId="17" applyFont="1" applyAlignment="1">
      <alignment vertical="center"/>
    </xf>
    <xf numFmtId="3" fontId="12" fillId="6" borderId="2" xfId="17" applyNumberFormat="1" applyFont="1" applyFill="1" applyBorder="1" applyAlignment="1">
      <alignment horizontal="left" vertical="center"/>
    </xf>
    <xf numFmtId="9" fontId="0" fillId="0" borderId="14" xfId="17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3" fontId="0" fillId="0" borderId="13" xfId="0" applyNumberFormat="1" applyBorder="1" applyAlignment="1">
      <alignment vertical="center"/>
    </xf>
    <xf numFmtId="2" fontId="0" fillId="0" borderId="14" xfId="0" applyNumberFormat="1" applyBorder="1" applyAlignment="1">
      <alignment vertical="center"/>
    </xf>
    <xf numFmtId="3" fontId="21" fillId="2" borderId="5" xfId="0" applyNumberFormat="1" applyFont="1" applyFill="1" applyBorder="1" applyAlignment="1">
      <alignment vertical="center"/>
    </xf>
    <xf numFmtId="9" fontId="2" fillId="0" borderId="0" xfId="17" applyFont="1" applyBorder="1" applyAlignment="1">
      <alignment vertical="center"/>
    </xf>
    <xf numFmtId="3" fontId="0" fillId="3" borderId="2" xfId="0" applyNumberFormat="1" applyFill="1" applyBorder="1" applyAlignment="1">
      <alignment vertical="center"/>
    </xf>
    <xf numFmtId="9" fontId="12" fillId="6" borderId="0" xfId="17" applyFont="1" applyFill="1" applyBorder="1" applyAlignment="1">
      <alignment vertical="center"/>
    </xf>
    <xf numFmtId="3" fontId="4" fillId="6" borderId="2" xfId="0" applyNumberFormat="1" applyFont="1" applyFill="1" applyBorder="1" applyAlignment="1">
      <alignment vertical="center"/>
    </xf>
    <xf numFmtId="0" fontId="25" fillId="0" borderId="0" xfId="0" applyFont="1"/>
    <xf numFmtId="6" fontId="0" fillId="0" borderId="0" xfId="0" applyNumberFormat="1"/>
    <xf numFmtId="3" fontId="2" fillId="2" borderId="1" xfId="0" applyNumberFormat="1" applyFont="1" applyFill="1" applyBorder="1" applyAlignment="1">
      <alignment vertical="center"/>
    </xf>
    <xf numFmtId="2" fontId="2" fillId="2" borderId="0" xfId="0" applyNumberFormat="1" applyFont="1" applyFill="1" applyAlignment="1">
      <alignment vertical="center"/>
    </xf>
    <xf numFmtId="9" fontId="2" fillId="2" borderId="0" xfId="17" applyFont="1" applyFill="1" applyBorder="1" applyAlignment="1">
      <alignment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3" fontId="2" fillId="2" borderId="11" xfId="0" applyNumberFormat="1" applyFont="1" applyFill="1" applyBorder="1" applyAlignment="1">
      <alignment horizontal="left" vertical="center"/>
    </xf>
    <xf numFmtId="3" fontId="2" fillId="2" borderId="9" xfId="0" applyNumberFormat="1" applyFont="1" applyFill="1" applyBorder="1" applyAlignment="1">
      <alignment vertical="center"/>
    </xf>
    <xf numFmtId="2" fontId="2" fillId="2" borderId="10" xfId="0" applyNumberFormat="1" applyFont="1" applyFill="1" applyBorder="1" applyAlignment="1">
      <alignment vertical="center"/>
    </xf>
    <xf numFmtId="9" fontId="2" fillId="2" borderId="10" xfId="17" applyFont="1" applyFill="1" applyBorder="1" applyAlignment="1">
      <alignment vertical="center"/>
    </xf>
    <xf numFmtId="3" fontId="10" fillId="2" borderId="10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3" fontId="0" fillId="0" borderId="6" xfId="0" applyNumberFormat="1" applyBorder="1" applyAlignment="1">
      <alignment vertical="center"/>
    </xf>
    <xf numFmtId="0" fontId="0" fillId="7" borderId="1" xfId="0" applyFill="1" applyBorder="1" applyAlignment="1">
      <alignment horizontal="left" vertical="center"/>
    </xf>
    <xf numFmtId="0" fontId="0" fillId="7" borderId="0" xfId="0" applyFill="1" applyAlignment="1">
      <alignment horizontal="left" vertical="center"/>
    </xf>
    <xf numFmtId="9" fontId="12" fillId="7" borderId="0" xfId="17" applyFont="1" applyFill="1" applyBorder="1" applyAlignment="1">
      <alignment horizontal="left" vertical="center"/>
    </xf>
    <xf numFmtId="3" fontId="0" fillId="7" borderId="7" xfId="0" applyNumberFormat="1" applyFill="1" applyBorder="1" applyAlignment="1">
      <alignment vertical="center"/>
    </xf>
    <xf numFmtId="0" fontId="0" fillId="13" borderId="0" xfId="0" applyFill="1"/>
    <xf numFmtId="0" fontId="0" fillId="13" borderId="0" xfId="0" applyFill="1" applyAlignment="1">
      <alignment horizontal="right"/>
    </xf>
    <xf numFmtId="0" fontId="29" fillId="8" borderId="0" xfId="0" applyFont="1" applyFill="1" applyAlignment="1">
      <alignment horizontal="center"/>
    </xf>
    <xf numFmtId="0" fontId="31" fillId="7" borderId="23" xfId="0" applyFont="1" applyFill="1" applyBorder="1"/>
    <xf numFmtId="0" fontId="31" fillId="7" borderId="26" xfId="0" applyFont="1" applyFill="1" applyBorder="1"/>
    <xf numFmtId="0" fontId="29" fillId="10" borderId="26" xfId="0" applyFont="1" applyFill="1" applyBorder="1"/>
    <xf numFmtId="0" fontId="31" fillId="7" borderId="30" xfId="0" applyFont="1" applyFill="1" applyBorder="1"/>
    <xf numFmtId="0" fontId="32" fillId="9" borderId="31" xfId="0" applyFont="1" applyFill="1" applyBorder="1"/>
    <xf numFmtId="0" fontId="32" fillId="9" borderId="34" xfId="0" applyFont="1" applyFill="1" applyBorder="1"/>
    <xf numFmtId="0" fontId="32" fillId="8" borderId="34" xfId="0" applyFont="1" applyFill="1" applyBorder="1"/>
    <xf numFmtId="0" fontId="29" fillId="8" borderId="36" xfId="0" applyFont="1" applyFill="1" applyBorder="1" applyAlignment="1">
      <alignment horizontal="center"/>
    </xf>
    <xf numFmtId="0" fontId="32" fillId="9" borderId="38" xfId="0" applyFont="1" applyFill="1" applyBorder="1"/>
    <xf numFmtId="0" fontId="30" fillId="11" borderId="42" xfId="0" applyFont="1" applyFill="1" applyBorder="1"/>
    <xf numFmtId="0" fontId="30" fillId="11" borderId="45" xfId="0" applyFont="1" applyFill="1" applyBorder="1"/>
    <xf numFmtId="0" fontId="30" fillId="12" borderId="45" xfId="0" applyFont="1" applyFill="1" applyBorder="1"/>
    <xf numFmtId="0" fontId="30" fillId="11" borderId="49" xfId="0" applyFont="1" applyFill="1" applyBorder="1"/>
    <xf numFmtId="0" fontId="2" fillId="13" borderId="0" xfId="0" applyFont="1" applyFill="1" applyAlignment="1">
      <alignment horizontal="left" vertical="center"/>
    </xf>
    <xf numFmtId="0" fontId="0" fillId="13" borderId="1" xfId="0" applyFill="1" applyBorder="1" applyAlignment="1">
      <alignment horizontal="left" vertical="center"/>
    </xf>
    <xf numFmtId="0" fontId="0" fillId="13" borderId="3" xfId="0" applyFill="1" applyBorder="1" applyAlignment="1">
      <alignment horizontal="left" vertical="center"/>
    </xf>
    <xf numFmtId="14" fontId="0" fillId="13" borderId="50" xfId="0" applyNumberFormat="1" applyFill="1" applyBorder="1"/>
    <xf numFmtId="0" fontId="29" fillId="14" borderId="0" xfId="0" applyFont="1" applyFill="1"/>
    <xf numFmtId="1" fontId="29" fillId="14" borderId="0" xfId="0" applyNumberFormat="1" applyFont="1" applyFill="1" applyAlignment="1">
      <alignment horizontal="center"/>
    </xf>
    <xf numFmtId="0" fontId="0" fillId="0" borderId="50" xfId="0" applyBorder="1"/>
    <xf numFmtId="9" fontId="0" fillId="0" borderId="50" xfId="0" applyNumberFormat="1" applyBorder="1"/>
    <xf numFmtId="44" fontId="34" fillId="6" borderId="0" xfId="18" applyFont="1" applyFill="1" applyBorder="1"/>
    <xf numFmtId="0" fontId="34" fillId="14" borderId="0" xfId="0" applyFont="1" applyFill="1"/>
    <xf numFmtId="0" fontId="34" fillId="6" borderId="0" xfId="0" applyFont="1" applyFill="1" applyAlignment="1">
      <alignment horizontal="left"/>
    </xf>
    <xf numFmtId="0" fontId="0" fillId="13" borderId="60" xfId="0" applyFill="1" applyBorder="1"/>
    <xf numFmtId="0" fontId="0" fillId="13" borderId="61" xfId="0" applyFill="1" applyBorder="1"/>
    <xf numFmtId="0" fontId="0" fillId="13" borderId="63" xfId="0" applyFill="1" applyBorder="1"/>
    <xf numFmtId="0" fontId="0" fillId="13" borderId="64" xfId="0" applyFill="1" applyBorder="1"/>
    <xf numFmtId="0" fontId="34" fillId="14" borderId="63" xfId="0" applyFont="1" applyFill="1" applyBorder="1" applyAlignment="1">
      <alignment horizontal="left" indent="1"/>
    </xf>
    <xf numFmtId="1" fontId="29" fillId="14" borderId="64" xfId="0" applyNumberFormat="1" applyFont="1" applyFill="1" applyBorder="1" applyAlignment="1">
      <alignment horizontal="center"/>
    </xf>
    <xf numFmtId="0" fontId="35" fillId="13" borderId="63" xfId="0" applyFont="1" applyFill="1" applyBorder="1"/>
    <xf numFmtId="0" fontId="14" fillId="13" borderId="63" xfId="0" applyFont="1" applyFill="1" applyBorder="1"/>
    <xf numFmtId="0" fontId="0" fillId="13" borderId="66" xfId="0" applyFill="1" applyBorder="1"/>
    <xf numFmtId="0" fontId="29" fillId="14" borderId="0" xfId="0" applyFont="1" applyFill="1" applyAlignment="1">
      <alignment horizontal="center"/>
    </xf>
    <xf numFmtId="0" fontId="29" fillId="14" borderId="64" xfId="0" applyFont="1" applyFill="1" applyBorder="1" applyAlignment="1">
      <alignment horizontal="center"/>
    </xf>
    <xf numFmtId="14" fontId="0" fillId="13" borderId="65" xfId="0" applyNumberFormat="1" applyFill="1" applyBorder="1"/>
    <xf numFmtId="0" fontId="0" fillId="13" borderId="67" xfId="0" applyFill="1" applyBorder="1"/>
    <xf numFmtId="0" fontId="29" fillId="14" borderId="67" xfId="0" applyFont="1" applyFill="1" applyBorder="1" applyAlignment="1">
      <alignment horizontal="center"/>
    </xf>
    <xf numFmtId="14" fontId="0" fillId="13" borderId="68" xfId="0" applyNumberFormat="1" applyFill="1" applyBorder="1"/>
    <xf numFmtId="14" fontId="0" fillId="13" borderId="69" xfId="0" applyNumberFormat="1" applyFill="1" applyBorder="1"/>
    <xf numFmtId="0" fontId="34" fillId="13" borderId="0" xfId="0" applyFont="1" applyFill="1" applyAlignment="1">
      <alignment horizontal="center"/>
    </xf>
    <xf numFmtId="0" fontId="0" fillId="13" borderId="0" xfId="0" applyFill="1" applyAlignment="1">
      <alignment horizontal="left" vertical="center"/>
    </xf>
    <xf numFmtId="0" fontId="14" fillId="13" borderId="0" xfId="0" applyFont="1" applyFill="1" applyAlignment="1">
      <alignment vertical="center"/>
    </xf>
    <xf numFmtId="2" fontId="0" fillId="13" borderId="0" xfId="0" applyNumberFormat="1" applyFill="1" applyAlignment="1">
      <alignment vertical="center"/>
    </xf>
    <xf numFmtId="9" fontId="12" fillId="13" borderId="0" xfId="17" applyFont="1" applyFill="1" applyAlignment="1">
      <alignment vertical="center"/>
    </xf>
    <xf numFmtId="0" fontId="0" fillId="13" borderId="0" xfId="0" applyFill="1" applyAlignment="1">
      <alignment vertical="center"/>
    </xf>
    <xf numFmtId="0" fontId="14" fillId="13" borderId="0" xfId="0" applyFont="1" applyFill="1" applyAlignment="1">
      <alignment horizontal="left" vertical="center"/>
    </xf>
    <xf numFmtId="14" fontId="9" fillId="13" borderId="0" xfId="0" applyNumberFormat="1" applyFont="1" applyFill="1" applyAlignment="1">
      <alignment horizontal="center" vertical="center"/>
    </xf>
    <xf numFmtId="164" fontId="12" fillId="13" borderId="0" xfId="17" applyNumberFormat="1" applyFont="1" applyFill="1" applyBorder="1" applyAlignment="1">
      <alignment horizontal="left" vertical="center"/>
    </xf>
    <xf numFmtId="9" fontId="0" fillId="13" borderId="1" xfId="0" applyNumberFormat="1" applyFill="1" applyBorder="1" applyAlignment="1">
      <alignment horizontal="left" vertical="center"/>
    </xf>
    <xf numFmtId="9" fontId="0" fillId="13" borderId="1" xfId="17" applyFont="1" applyFill="1" applyBorder="1" applyAlignment="1">
      <alignment horizontal="left" vertical="center"/>
    </xf>
    <xf numFmtId="2" fontId="2" fillId="13" borderId="0" xfId="0" applyNumberFormat="1" applyFont="1" applyFill="1" applyAlignment="1">
      <alignment vertical="center"/>
    </xf>
    <xf numFmtId="9" fontId="0" fillId="13" borderId="3" xfId="17" applyFont="1" applyFill="1" applyBorder="1" applyAlignment="1">
      <alignment horizontal="left" vertical="center"/>
    </xf>
    <xf numFmtId="0" fontId="2" fillId="13" borderId="0" xfId="0" applyFont="1" applyFill="1" applyAlignment="1">
      <alignment vertical="center"/>
    </xf>
    <xf numFmtId="0" fontId="0" fillId="13" borderId="13" xfId="0" applyFill="1" applyBorder="1" applyAlignment="1">
      <alignment horizontal="left" vertical="center" wrapText="1"/>
    </xf>
    <xf numFmtId="0" fontId="0" fillId="13" borderId="14" xfId="0" applyFill="1" applyBorder="1" applyAlignment="1">
      <alignment horizontal="left" vertical="center" wrapText="1"/>
    </xf>
    <xf numFmtId="3" fontId="0" fillId="13" borderId="15" xfId="0" applyNumberFormat="1" applyFill="1" applyBorder="1" applyAlignment="1">
      <alignment horizontal="left" vertical="center" wrapText="1"/>
    </xf>
    <xf numFmtId="0" fontId="0" fillId="13" borderId="0" xfId="0" applyFill="1" applyAlignment="1">
      <alignment vertical="center" wrapText="1"/>
    </xf>
    <xf numFmtId="0" fontId="2" fillId="13" borderId="3" xfId="0" applyFont="1" applyFill="1" applyBorder="1" applyAlignment="1">
      <alignment horizontal="left" vertical="center" wrapText="1"/>
    </xf>
    <xf numFmtId="0" fontId="2" fillId="13" borderId="4" xfId="0" applyFont="1" applyFill="1" applyBorder="1" applyAlignment="1">
      <alignment horizontal="left" vertical="center" wrapText="1"/>
    </xf>
    <xf numFmtId="0" fontId="0" fillId="13" borderId="4" xfId="0" applyFill="1" applyBorder="1" applyAlignment="1">
      <alignment horizontal="center" vertical="center" wrapText="1"/>
    </xf>
    <xf numFmtId="3" fontId="2" fillId="13" borderId="5" xfId="0" applyNumberFormat="1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/>
    </xf>
    <xf numFmtId="0" fontId="0" fillId="13" borderId="74" xfId="0" applyFill="1" applyBorder="1" applyAlignment="1">
      <alignment horizontal="center" vertical="center"/>
    </xf>
    <xf numFmtId="0" fontId="0" fillId="13" borderId="76" xfId="0" applyFill="1" applyBorder="1" applyAlignment="1">
      <alignment horizontal="center" vertical="center"/>
    </xf>
    <xf numFmtId="14" fontId="0" fillId="13" borderId="20" xfId="0" applyNumberFormat="1" applyFill="1" applyBorder="1" applyAlignment="1">
      <alignment horizontal="center" vertical="center"/>
    </xf>
    <xf numFmtId="14" fontId="0" fillId="13" borderId="77" xfId="0" applyNumberFormat="1" applyFill="1" applyBorder="1" applyAlignment="1">
      <alignment horizontal="center" vertical="center"/>
    </xf>
    <xf numFmtId="0" fontId="0" fillId="13" borderId="78" xfId="0" applyFill="1" applyBorder="1" applyAlignment="1">
      <alignment horizontal="center" vertical="center"/>
    </xf>
    <xf numFmtId="14" fontId="0" fillId="13" borderId="79" xfId="0" applyNumberFormat="1" applyFill="1" applyBorder="1" applyAlignment="1">
      <alignment horizontal="center" vertical="center"/>
    </xf>
    <xf numFmtId="14" fontId="0" fillId="13" borderId="80" xfId="0" applyNumberForma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9" fontId="0" fillId="13" borderId="0" xfId="17" applyFont="1" applyFill="1" applyAlignment="1">
      <alignment vertical="center"/>
    </xf>
    <xf numFmtId="9" fontId="0" fillId="13" borderId="0" xfId="17" applyFont="1" applyFill="1" applyBorder="1" applyAlignment="1">
      <alignment vertical="center"/>
    </xf>
    <xf numFmtId="9" fontId="37" fillId="13" borderId="0" xfId="17" applyFont="1" applyFill="1" applyAlignment="1">
      <alignment vertical="center"/>
    </xf>
    <xf numFmtId="0" fontId="29" fillId="13" borderId="0" xfId="0" applyFont="1" applyFill="1" applyAlignment="1">
      <alignment horizontal="center"/>
    </xf>
    <xf numFmtId="0" fontId="29" fillId="13" borderId="64" xfId="0" applyFont="1" applyFill="1" applyBorder="1" applyAlignment="1">
      <alignment horizontal="center"/>
    </xf>
    <xf numFmtId="0" fontId="0" fillId="13" borderId="88" xfId="0" applyFill="1" applyBorder="1"/>
    <xf numFmtId="0" fontId="0" fillId="13" borderId="89" xfId="0" applyFill="1" applyBorder="1"/>
    <xf numFmtId="0" fontId="29" fillId="10" borderId="0" xfId="0" applyFont="1" applyFill="1" applyAlignment="1">
      <alignment horizontal="center"/>
    </xf>
    <xf numFmtId="0" fontId="29" fillId="10" borderId="28" xfId="0" applyFont="1" applyFill="1" applyBorder="1" applyAlignment="1">
      <alignment horizontal="center"/>
    </xf>
    <xf numFmtId="0" fontId="28" fillId="12" borderId="0" xfId="0" applyFont="1" applyFill="1" applyAlignment="1">
      <alignment horizontal="center"/>
    </xf>
    <xf numFmtId="0" fontId="28" fillId="12" borderId="47" xfId="0" applyFont="1" applyFill="1" applyBorder="1" applyAlignment="1">
      <alignment horizontal="center"/>
    </xf>
    <xf numFmtId="44" fontId="0" fillId="13" borderId="19" xfId="18" applyFont="1" applyFill="1" applyBorder="1"/>
    <xf numFmtId="44" fontId="0" fillId="13" borderId="29" xfId="18" applyFont="1" applyFill="1" applyBorder="1"/>
    <xf numFmtId="0" fontId="4" fillId="0" borderId="0" xfId="0" applyFont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14" fontId="0" fillId="13" borderId="93" xfId="0" applyNumberFormat="1" applyFill="1" applyBorder="1" applyAlignment="1">
      <alignment horizontal="center" vertical="center"/>
    </xf>
    <xf numFmtId="14" fontId="0" fillId="0" borderId="75" xfId="0" applyNumberFormat="1" applyBorder="1" applyAlignment="1">
      <alignment horizontal="center" vertical="center"/>
    </xf>
    <xf numFmtId="0" fontId="2" fillId="14" borderId="13" xfId="0" applyFont="1" applyFill="1" applyBorder="1" applyAlignment="1">
      <alignment horizontal="left" vertical="center"/>
    </xf>
    <xf numFmtId="0" fontId="2" fillId="14" borderId="14" xfId="0" applyFont="1" applyFill="1" applyBorder="1" applyAlignment="1">
      <alignment horizontal="left" vertical="center"/>
    </xf>
    <xf numFmtId="0" fontId="2" fillId="14" borderId="15" xfId="0" applyFont="1" applyFill="1" applyBorder="1" applyAlignment="1">
      <alignment horizontal="left" vertical="center"/>
    </xf>
    <xf numFmtId="0" fontId="2" fillId="14" borderId="3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0" fontId="2" fillId="14" borderId="5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2" fontId="0" fillId="0" borderId="10" xfId="0" applyNumberFormat="1" applyBorder="1" applyAlignment="1">
      <alignment vertical="center" wrapText="1"/>
    </xf>
    <xf numFmtId="9" fontId="0" fillId="0" borderId="10" xfId="17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14" borderId="8" xfId="0" applyFont="1" applyFill="1" applyBorder="1" applyAlignment="1">
      <alignment horizontal="center" vertical="center"/>
    </xf>
    <xf numFmtId="3" fontId="2" fillId="14" borderId="8" xfId="0" applyNumberFormat="1" applyFont="1" applyFill="1" applyBorder="1" applyAlignment="1">
      <alignment vertical="center"/>
    </xf>
    <xf numFmtId="3" fontId="0" fillId="16" borderId="7" xfId="0" applyNumberFormat="1" applyFill="1" applyBorder="1" applyAlignment="1">
      <alignment vertical="center"/>
    </xf>
    <xf numFmtId="3" fontId="2" fillId="14" borderId="12" xfId="0" applyNumberFormat="1" applyFont="1" applyFill="1" applyBorder="1" applyAlignment="1">
      <alignment vertical="center"/>
    </xf>
    <xf numFmtId="3" fontId="15" fillId="14" borderId="12" xfId="0" applyNumberFormat="1" applyFont="1" applyFill="1" applyBorder="1" applyAlignment="1">
      <alignment vertical="center"/>
    </xf>
    <xf numFmtId="3" fontId="17" fillId="14" borderId="12" xfId="0" applyNumberFormat="1" applyFont="1" applyFill="1" applyBorder="1" applyAlignment="1">
      <alignment vertical="center"/>
    </xf>
    <xf numFmtId="3" fontId="21" fillId="14" borderId="12" xfId="0" applyNumberFormat="1" applyFont="1" applyFill="1" applyBorder="1" applyAlignment="1">
      <alignment vertical="center"/>
    </xf>
    <xf numFmtId="3" fontId="0" fillId="0" borderId="7" xfId="0" applyNumberFormat="1" applyBorder="1" applyAlignment="1">
      <alignment vertical="center"/>
    </xf>
    <xf numFmtId="0" fontId="0" fillId="0" borderId="94" xfId="0" applyBorder="1" applyAlignment="1">
      <alignment horizontal="left" vertical="center"/>
    </xf>
    <xf numFmtId="9" fontId="0" fillId="3" borderId="0" xfId="0" applyNumberFormat="1" applyFill="1" applyAlignment="1">
      <alignment horizontal="left" vertical="center"/>
    </xf>
    <xf numFmtId="9" fontId="12" fillId="3" borderId="0" xfId="17" applyFont="1" applyFill="1" applyBorder="1" applyAlignment="1">
      <alignment horizontal="left" vertical="center"/>
    </xf>
    <xf numFmtId="9" fontId="12" fillId="3" borderId="4" xfId="17" applyFont="1" applyFill="1" applyBorder="1" applyAlignment="1">
      <alignment horizontal="left" vertical="center"/>
    </xf>
    <xf numFmtId="164" fontId="12" fillId="3" borderId="2" xfId="17" applyNumberFormat="1" applyFont="1" applyFill="1" applyBorder="1" applyAlignment="1">
      <alignment horizontal="left" vertical="center"/>
    </xf>
    <xf numFmtId="164" fontId="12" fillId="3" borderId="5" xfId="17" applyNumberFormat="1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3" fontId="0" fillId="3" borderId="0" xfId="0" applyNumberFormat="1" applyFill="1" applyAlignment="1">
      <alignment vertical="center"/>
    </xf>
    <xf numFmtId="3" fontId="4" fillId="3" borderId="0" xfId="0" applyNumberFormat="1" applyFont="1" applyFill="1" applyAlignment="1">
      <alignment vertical="center"/>
    </xf>
    <xf numFmtId="9" fontId="0" fillId="3" borderId="0" xfId="17" applyFont="1" applyFill="1" applyBorder="1" applyAlignment="1">
      <alignment vertical="center"/>
    </xf>
    <xf numFmtId="3" fontId="0" fillId="3" borderId="1" xfId="0" applyNumberFormat="1" applyFill="1" applyBorder="1" applyAlignment="1">
      <alignment vertical="center"/>
    </xf>
    <xf numFmtId="0" fontId="0" fillId="18" borderId="0" xfId="0" applyFill="1" applyAlignment="1">
      <alignment vertical="center"/>
    </xf>
    <xf numFmtId="0" fontId="2" fillId="18" borderId="13" xfId="0" applyFont="1" applyFill="1" applyBorder="1" applyAlignment="1">
      <alignment horizontal="left" vertical="center"/>
    </xf>
    <xf numFmtId="0" fontId="2" fillId="18" borderId="14" xfId="0" applyFont="1" applyFill="1" applyBorder="1" applyAlignment="1">
      <alignment horizontal="left" vertical="center"/>
    </xf>
    <xf numFmtId="0" fontId="3" fillId="18" borderId="14" xfId="0" applyFont="1" applyFill="1" applyBorder="1" applyAlignment="1">
      <alignment horizontal="center" vertical="center"/>
    </xf>
    <xf numFmtId="0" fontId="0" fillId="18" borderId="0" xfId="0" applyFill="1" applyAlignment="1">
      <alignment horizontal="left" vertical="center"/>
    </xf>
    <xf numFmtId="9" fontId="0" fillId="7" borderId="0" xfId="0" applyNumberFormat="1" applyFill="1" applyAlignment="1">
      <alignment horizontal="left" vertical="center"/>
    </xf>
    <xf numFmtId="9" fontId="12" fillId="7" borderId="4" xfId="17" applyFont="1" applyFill="1" applyBorder="1" applyAlignment="1">
      <alignment horizontal="left" vertical="center"/>
    </xf>
    <xf numFmtId="164" fontId="12" fillId="7" borderId="2" xfId="17" applyNumberFormat="1" applyFont="1" applyFill="1" applyBorder="1" applyAlignment="1">
      <alignment horizontal="left" vertical="center"/>
    </xf>
    <xf numFmtId="164" fontId="12" fillId="7" borderId="5" xfId="17" applyNumberFormat="1" applyFont="1" applyFill="1" applyBorder="1" applyAlignment="1">
      <alignment horizontal="left" vertical="center"/>
    </xf>
    <xf numFmtId="3" fontId="0" fillId="7" borderId="0" xfId="0" applyNumberFormat="1" applyFill="1" applyAlignment="1">
      <alignment vertical="center"/>
    </xf>
    <xf numFmtId="9" fontId="0" fillId="7" borderId="0" xfId="17" applyFont="1" applyFill="1" applyBorder="1" applyAlignment="1">
      <alignment vertical="center"/>
    </xf>
    <xf numFmtId="3" fontId="4" fillId="7" borderId="0" xfId="0" applyNumberFormat="1" applyFont="1" applyFill="1" applyAlignment="1">
      <alignment vertical="center"/>
    </xf>
    <xf numFmtId="3" fontId="0" fillId="7" borderId="1" xfId="0" applyNumberFormat="1" applyFill="1" applyBorder="1" applyAlignment="1">
      <alignment vertical="center"/>
    </xf>
    <xf numFmtId="3" fontId="0" fillId="7" borderId="2" xfId="0" applyNumberFormat="1" applyFill="1" applyBorder="1" applyAlignment="1">
      <alignment vertical="center"/>
    </xf>
    <xf numFmtId="0" fontId="2" fillId="12" borderId="13" xfId="0" applyFont="1" applyFill="1" applyBorder="1" applyAlignment="1">
      <alignment horizontal="left" vertical="center"/>
    </xf>
    <xf numFmtId="0" fontId="2" fillId="12" borderId="14" xfId="0" applyFont="1" applyFill="1" applyBorder="1" applyAlignment="1">
      <alignment horizontal="left" vertical="center"/>
    </xf>
    <xf numFmtId="0" fontId="3" fillId="12" borderId="14" xfId="0" applyFont="1" applyFill="1" applyBorder="1" applyAlignment="1">
      <alignment horizontal="center" vertical="center"/>
    </xf>
    <xf numFmtId="0" fontId="3" fillId="12" borderId="15" xfId="0" applyFont="1" applyFill="1" applyBorder="1" applyAlignment="1">
      <alignment horizontal="center" vertical="center"/>
    </xf>
    <xf numFmtId="0" fontId="0" fillId="12" borderId="0" xfId="0" applyFill="1" applyAlignment="1">
      <alignment horizontal="left" vertical="center"/>
    </xf>
    <xf numFmtId="0" fontId="0" fillId="12" borderId="0" xfId="0" applyFill="1" applyAlignment="1">
      <alignment vertical="center"/>
    </xf>
    <xf numFmtId="0" fontId="3" fillId="12" borderId="5" xfId="0" applyFont="1" applyFill="1" applyBorder="1" applyAlignment="1">
      <alignment horizontal="center" vertical="center"/>
    </xf>
    <xf numFmtId="3" fontId="15" fillId="12" borderId="11" xfId="0" applyNumberFormat="1" applyFont="1" applyFill="1" applyBorder="1" applyAlignment="1">
      <alignment vertical="center"/>
    </xf>
    <xf numFmtId="3" fontId="17" fillId="12" borderId="11" xfId="0" applyNumberFormat="1" applyFont="1" applyFill="1" applyBorder="1" applyAlignment="1">
      <alignment vertical="center"/>
    </xf>
    <xf numFmtId="3" fontId="21" fillId="12" borderId="11" xfId="0" applyNumberFormat="1" applyFont="1" applyFill="1" applyBorder="1" applyAlignment="1">
      <alignment vertical="center"/>
    </xf>
    <xf numFmtId="0" fontId="2" fillId="10" borderId="13" xfId="0" applyFont="1" applyFill="1" applyBorder="1" applyAlignment="1">
      <alignment horizontal="left" vertical="center"/>
    </xf>
    <xf numFmtId="0" fontId="2" fillId="10" borderId="14" xfId="0" applyFont="1" applyFill="1" applyBorder="1" applyAlignment="1">
      <alignment horizontal="left" vertical="center"/>
    </xf>
    <xf numFmtId="0" fontId="3" fillId="10" borderId="14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/>
    </xf>
    <xf numFmtId="0" fontId="0" fillId="10" borderId="0" xfId="0" applyFill="1" applyAlignment="1">
      <alignment horizontal="left" vertical="center"/>
    </xf>
    <xf numFmtId="0" fontId="0" fillId="10" borderId="0" xfId="0" applyFill="1" applyAlignment="1">
      <alignment vertical="center"/>
    </xf>
    <xf numFmtId="0" fontId="3" fillId="10" borderId="5" xfId="0" applyFont="1" applyFill="1" applyBorder="1" applyAlignment="1">
      <alignment horizontal="center" vertical="center"/>
    </xf>
    <xf numFmtId="3" fontId="17" fillId="10" borderId="11" xfId="0" applyNumberFormat="1" applyFont="1" applyFill="1" applyBorder="1" applyAlignment="1">
      <alignment vertical="center"/>
    </xf>
    <xf numFmtId="3" fontId="21" fillId="10" borderId="11" xfId="0" applyNumberFormat="1" applyFont="1" applyFill="1" applyBorder="1" applyAlignment="1">
      <alignment vertical="center"/>
    </xf>
    <xf numFmtId="3" fontId="0" fillId="17" borderId="15" xfId="0" applyNumberFormat="1" applyFill="1" applyBorder="1" applyAlignment="1">
      <alignment vertical="center"/>
    </xf>
    <xf numFmtId="3" fontId="0" fillId="17" borderId="2" xfId="0" applyNumberFormat="1" applyFill="1" applyBorder="1" applyAlignment="1">
      <alignment vertical="center"/>
    </xf>
    <xf numFmtId="0" fontId="3" fillId="17" borderId="2" xfId="0" applyFont="1" applyFill="1" applyBorder="1" applyAlignment="1">
      <alignment horizontal="center" vertical="center"/>
    </xf>
    <xf numFmtId="3" fontId="0" fillId="19" borderId="15" xfId="0" applyNumberFormat="1" applyFill="1" applyBorder="1" applyAlignment="1">
      <alignment vertical="center"/>
    </xf>
    <xf numFmtId="3" fontId="0" fillId="19" borderId="2" xfId="0" applyNumberFormat="1" applyFill="1" applyBorder="1" applyAlignment="1">
      <alignment vertical="center"/>
    </xf>
    <xf numFmtId="0" fontId="3" fillId="19" borderId="2" xfId="0" applyFont="1" applyFill="1" applyBorder="1" applyAlignment="1">
      <alignment horizontal="center" vertical="center"/>
    </xf>
    <xf numFmtId="3" fontId="2" fillId="10" borderId="5" xfId="0" applyNumberFormat="1" applyFont="1" applyFill="1" applyBorder="1" applyAlignment="1">
      <alignment vertical="center"/>
    </xf>
    <xf numFmtId="0" fontId="0" fillId="11" borderId="0" xfId="0" applyFill="1" applyAlignment="1">
      <alignment horizontal="left" vertical="center"/>
    </xf>
    <xf numFmtId="9" fontId="0" fillId="11" borderId="0" xfId="0" applyNumberFormat="1" applyFill="1" applyAlignment="1">
      <alignment horizontal="left" vertical="center"/>
    </xf>
    <xf numFmtId="9" fontId="12" fillId="11" borderId="0" xfId="17" applyFont="1" applyFill="1" applyBorder="1" applyAlignment="1">
      <alignment horizontal="left" vertical="center"/>
    </xf>
    <xf numFmtId="9" fontId="12" fillId="11" borderId="4" xfId="17" applyFont="1" applyFill="1" applyBorder="1" applyAlignment="1">
      <alignment horizontal="left" vertical="center"/>
    </xf>
    <xf numFmtId="164" fontId="12" fillId="11" borderId="2" xfId="17" applyNumberFormat="1" applyFont="1" applyFill="1" applyBorder="1" applyAlignment="1">
      <alignment horizontal="left" vertical="center"/>
    </xf>
    <xf numFmtId="164" fontId="12" fillId="11" borderId="5" xfId="17" applyNumberFormat="1" applyFont="1" applyFill="1" applyBorder="1" applyAlignment="1">
      <alignment horizontal="left" vertical="center"/>
    </xf>
    <xf numFmtId="0" fontId="0" fillId="11" borderId="1" xfId="0" applyFill="1" applyBorder="1" applyAlignment="1">
      <alignment horizontal="left" vertical="center"/>
    </xf>
    <xf numFmtId="3" fontId="0" fillId="11" borderId="0" xfId="0" applyNumberFormat="1" applyFill="1" applyAlignment="1">
      <alignment vertical="center"/>
    </xf>
    <xf numFmtId="9" fontId="0" fillId="11" borderId="0" xfId="17" applyFont="1" applyFill="1" applyBorder="1" applyAlignment="1">
      <alignment vertical="center"/>
    </xf>
    <xf numFmtId="3" fontId="4" fillId="11" borderId="0" xfId="0" applyNumberFormat="1" applyFont="1" applyFill="1" applyAlignment="1">
      <alignment vertical="center"/>
    </xf>
    <xf numFmtId="3" fontId="0" fillId="11" borderId="1" xfId="0" applyNumberFormat="1" applyFill="1" applyBorder="1" applyAlignment="1">
      <alignment vertical="center"/>
    </xf>
    <xf numFmtId="3" fontId="0" fillId="11" borderId="2" xfId="0" applyNumberFormat="1" applyFill="1" applyBorder="1" applyAlignment="1">
      <alignment vertical="center"/>
    </xf>
    <xf numFmtId="3" fontId="2" fillId="12" borderId="5" xfId="0" applyNumberFormat="1" applyFont="1" applyFill="1" applyBorder="1" applyAlignment="1">
      <alignment vertical="center"/>
    </xf>
    <xf numFmtId="0" fontId="23" fillId="2" borderId="3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3" fontId="2" fillId="0" borderId="15" xfId="0" applyNumberFormat="1" applyFont="1" applyBorder="1" applyAlignment="1">
      <alignment horizontal="left" vertical="center" wrapText="1"/>
    </xf>
    <xf numFmtId="0" fontId="0" fillId="2" borderId="95" xfId="0" applyFill="1" applyBorder="1" applyAlignment="1">
      <alignment horizontal="left" vertical="center"/>
    </xf>
    <xf numFmtId="0" fontId="2" fillId="2" borderId="96" xfId="0" applyFont="1" applyFill="1" applyBorder="1" applyAlignment="1">
      <alignment horizontal="left" vertical="center"/>
    </xf>
    <xf numFmtId="3" fontId="2" fillId="2" borderId="95" xfId="0" applyNumberFormat="1" applyFont="1" applyFill="1" applyBorder="1" applyAlignment="1">
      <alignment vertical="center"/>
    </xf>
    <xf numFmtId="2" fontId="2" fillId="2" borderId="96" xfId="0" applyNumberFormat="1" applyFont="1" applyFill="1" applyBorder="1" applyAlignment="1">
      <alignment vertical="center"/>
    </xf>
    <xf numFmtId="9" fontId="2" fillId="2" borderId="96" xfId="17" applyFont="1" applyFill="1" applyBorder="1" applyAlignment="1">
      <alignment vertical="center"/>
    </xf>
    <xf numFmtId="3" fontId="10" fillId="2" borderId="96" xfId="0" applyNumberFormat="1" applyFont="1" applyFill="1" applyBorder="1" applyAlignment="1">
      <alignment vertical="center"/>
    </xf>
    <xf numFmtId="3" fontId="2" fillId="2" borderId="96" xfId="0" applyNumberFormat="1" applyFont="1" applyFill="1" applyBorder="1" applyAlignment="1">
      <alignment vertical="center"/>
    </xf>
    <xf numFmtId="3" fontId="2" fillId="2" borderId="97" xfId="0" applyNumberFormat="1" applyFont="1" applyFill="1" applyBorder="1" applyAlignment="1">
      <alignment vertical="center"/>
    </xf>
    <xf numFmtId="0" fontId="2" fillId="2" borderId="95" xfId="0" applyFont="1" applyFill="1" applyBorder="1" applyAlignment="1">
      <alignment horizontal="left" vertical="center"/>
    </xf>
    <xf numFmtId="0" fontId="9" fillId="2" borderId="95" xfId="15" applyFont="1" applyFill="1" applyBorder="1" applyAlignment="1">
      <alignment horizontal="left" vertical="center"/>
    </xf>
    <xf numFmtId="0" fontId="9" fillId="2" borderId="96" xfId="15" applyFont="1" applyFill="1" applyBorder="1" applyAlignment="1">
      <alignment horizontal="left" vertical="center"/>
    </xf>
    <xf numFmtId="0" fontId="11" fillId="4" borderId="95" xfId="15" applyFont="1" applyFill="1" applyBorder="1" applyAlignment="1">
      <alignment horizontal="left" vertical="center"/>
    </xf>
    <xf numFmtId="0" fontId="11" fillId="4" borderId="96" xfId="15" applyFont="1" applyFill="1" applyBorder="1" applyAlignment="1">
      <alignment horizontal="left" vertical="center"/>
    </xf>
    <xf numFmtId="3" fontId="2" fillId="4" borderId="95" xfId="0" applyNumberFormat="1" applyFont="1" applyFill="1" applyBorder="1" applyAlignment="1">
      <alignment vertical="center"/>
    </xf>
    <xf numFmtId="2" fontId="2" fillId="4" borderId="96" xfId="0" applyNumberFormat="1" applyFont="1" applyFill="1" applyBorder="1" applyAlignment="1">
      <alignment vertical="center"/>
    </xf>
    <xf numFmtId="9" fontId="2" fillId="4" borderId="96" xfId="17" applyFont="1" applyFill="1" applyBorder="1" applyAlignment="1">
      <alignment vertical="center"/>
    </xf>
    <xf numFmtId="3" fontId="2" fillId="4" borderId="96" xfId="0" applyNumberFormat="1" applyFont="1" applyFill="1" applyBorder="1" applyAlignment="1">
      <alignment vertical="center"/>
    </xf>
    <xf numFmtId="3" fontId="2" fillId="4" borderId="97" xfId="0" applyNumberFormat="1" applyFont="1" applyFill="1" applyBorder="1" applyAlignment="1">
      <alignment vertical="center"/>
    </xf>
    <xf numFmtId="0" fontId="4" fillId="4" borderId="95" xfId="15" applyFont="1" applyFill="1" applyBorder="1" applyAlignment="1">
      <alignment horizontal="left" vertical="center"/>
    </xf>
    <xf numFmtId="0" fontId="4" fillId="4" borderId="96" xfId="15" applyFont="1" applyFill="1" applyBorder="1" applyAlignment="1">
      <alignment horizontal="left" vertical="center"/>
    </xf>
    <xf numFmtId="0" fontId="9" fillId="2" borderId="98" xfId="15" applyFont="1" applyFill="1" applyBorder="1" applyAlignment="1">
      <alignment horizontal="left" vertical="center"/>
    </xf>
    <xf numFmtId="0" fontId="9" fillId="2" borderId="99" xfId="15" applyFont="1" applyFill="1" applyBorder="1" applyAlignment="1">
      <alignment horizontal="left" vertical="center"/>
    </xf>
    <xf numFmtId="0" fontId="0" fillId="6" borderId="101" xfId="0" applyFill="1" applyBorder="1" applyAlignment="1">
      <alignment horizontal="left" vertical="center"/>
    </xf>
    <xf numFmtId="0" fontId="0" fillId="6" borderId="102" xfId="0" applyFill="1" applyBorder="1" applyAlignment="1">
      <alignment horizontal="left" vertical="center"/>
    </xf>
    <xf numFmtId="9" fontId="0" fillId="0" borderId="105" xfId="17" applyFont="1" applyFill="1" applyBorder="1" applyAlignment="1">
      <alignment horizontal="left" vertical="center"/>
    </xf>
    <xf numFmtId="1" fontId="12" fillId="0" borderId="105" xfId="17" applyNumberFormat="1" applyFont="1" applyFill="1" applyBorder="1" applyAlignment="1">
      <alignment horizontal="left" vertical="center"/>
    </xf>
    <xf numFmtId="9" fontId="12" fillId="0" borderId="105" xfId="17" applyFont="1" applyFill="1" applyBorder="1" applyAlignment="1">
      <alignment horizontal="left" vertical="center"/>
    </xf>
    <xf numFmtId="2" fontId="12" fillId="0" borderId="105" xfId="17" applyNumberFormat="1" applyFont="1" applyFill="1" applyBorder="1" applyAlignment="1">
      <alignment horizontal="left" vertical="center"/>
    </xf>
    <xf numFmtId="3" fontId="12" fillId="6" borderId="104" xfId="17" applyNumberFormat="1" applyFont="1" applyFill="1" applyBorder="1" applyAlignment="1">
      <alignment horizontal="left" vertical="center"/>
    </xf>
    <xf numFmtId="3" fontId="0" fillId="0" borderId="107" xfId="0" applyNumberFormat="1" applyBorder="1" applyAlignment="1">
      <alignment vertical="center"/>
    </xf>
    <xf numFmtId="2" fontId="0" fillId="0" borderId="105" xfId="0" applyNumberFormat="1" applyBorder="1" applyAlignment="1">
      <alignment vertical="center"/>
    </xf>
    <xf numFmtId="3" fontId="0" fillId="0" borderId="105" xfId="0" applyNumberFormat="1" applyBorder="1" applyAlignment="1">
      <alignment vertical="center"/>
    </xf>
    <xf numFmtId="3" fontId="0" fillId="0" borderId="103" xfId="0" applyNumberFormat="1" applyBorder="1" applyAlignment="1">
      <alignment vertical="center"/>
    </xf>
    <xf numFmtId="3" fontId="4" fillId="0" borderId="107" xfId="0" applyNumberFormat="1" applyFont="1" applyBorder="1" applyAlignment="1">
      <alignment vertical="center"/>
    </xf>
    <xf numFmtId="0" fontId="0" fillId="7" borderId="107" xfId="0" applyFill="1" applyBorder="1" applyAlignment="1">
      <alignment horizontal="left" vertical="center"/>
    </xf>
    <xf numFmtId="0" fontId="0" fillId="7" borderId="105" xfId="0" applyFill="1" applyBorder="1" applyAlignment="1">
      <alignment horizontal="left" vertical="center"/>
    </xf>
    <xf numFmtId="9" fontId="12" fillId="7" borderId="105" xfId="17" applyFont="1" applyFill="1" applyBorder="1" applyAlignment="1">
      <alignment horizontal="left" vertical="center"/>
    </xf>
    <xf numFmtId="1" fontId="12" fillId="7" borderId="105" xfId="17" applyNumberFormat="1" applyFont="1" applyFill="1" applyBorder="1" applyAlignment="1">
      <alignment horizontal="left" vertical="center"/>
    </xf>
    <xf numFmtId="2" fontId="12" fillId="7" borderId="105" xfId="17" applyNumberFormat="1" applyFont="1" applyFill="1" applyBorder="1" applyAlignment="1">
      <alignment horizontal="left" vertical="center"/>
    </xf>
    <xf numFmtId="3" fontId="12" fillId="7" borderId="103" xfId="17" applyNumberFormat="1" applyFont="1" applyFill="1" applyBorder="1" applyAlignment="1">
      <alignment horizontal="left" vertical="center"/>
    </xf>
    <xf numFmtId="3" fontId="4" fillId="7" borderId="107" xfId="0" applyNumberFormat="1" applyFont="1" applyFill="1" applyBorder="1" applyAlignment="1">
      <alignment vertical="center"/>
    </xf>
    <xf numFmtId="2" fontId="0" fillId="7" borderId="105" xfId="0" applyNumberFormat="1" applyFill="1" applyBorder="1" applyAlignment="1">
      <alignment vertical="center"/>
    </xf>
    <xf numFmtId="9" fontId="12" fillId="7" borderId="105" xfId="17" applyFont="1" applyFill="1" applyBorder="1" applyAlignment="1">
      <alignment vertical="center"/>
    </xf>
    <xf numFmtId="3" fontId="0" fillId="7" borderId="105" xfId="0" applyNumberFormat="1" applyFill="1" applyBorder="1" applyAlignment="1">
      <alignment vertical="center"/>
    </xf>
    <xf numFmtId="3" fontId="0" fillId="7" borderId="107" xfId="0" applyNumberFormat="1" applyFill="1" applyBorder="1" applyAlignment="1">
      <alignment vertical="center"/>
    </xf>
    <xf numFmtId="3" fontId="0" fillId="7" borderId="103" xfId="0" applyNumberFormat="1" applyFill="1" applyBorder="1" applyAlignment="1">
      <alignment vertical="center"/>
    </xf>
    <xf numFmtId="9" fontId="12" fillId="0" borderId="105" xfId="17" applyFont="1" applyBorder="1" applyAlignment="1">
      <alignment vertical="center"/>
    </xf>
    <xf numFmtId="0" fontId="4" fillId="0" borderId="107" xfId="15" applyFont="1" applyBorder="1" applyAlignment="1">
      <alignment horizontal="left" vertical="center"/>
    </xf>
    <xf numFmtId="0" fontId="4" fillId="0" borderId="105" xfId="15" applyFont="1" applyBorder="1" applyAlignment="1">
      <alignment horizontal="left" vertical="center"/>
    </xf>
    <xf numFmtId="0" fontId="4" fillId="0" borderId="105" xfId="15" applyFont="1" applyBorder="1" applyAlignment="1">
      <alignment horizontal="left" vertical="center" indent="4"/>
    </xf>
    <xf numFmtId="0" fontId="4" fillId="0" borderId="107" xfId="15" applyFont="1" applyBorder="1" applyAlignment="1">
      <alignment horizontal="left" vertical="center" indent="4"/>
    </xf>
    <xf numFmtId="0" fontId="11" fillId="4" borderId="107" xfId="15" applyFont="1" applyFill="1" applyBorder="1" applyAlignment="1">
      <alignment horizontal="left" vertical="center"/>
    </xf>
    <xf numFmtId="0" fontId="11" fillId="4" borderId="105" xfId="15" applyFont="1" applyFill="1" applyBorder="1" applyAlignment="1">
      <alignment horizontal="left" vertical="center"/>
    </xf>
    <xf numFmtId="3" fontId="2" fillId="4" borderId="107" xfId="0" applyNumberFormat="1" applyFont="1" applyFill="1" applyBorder="1" applyAlignment="1">
      <alignment vertical="center"/>
    </xf>
    <xf numFmtId="2" fontId="2" fillId="4" borderId="105" xfId="0" applyNumberFormat="1" applyFont="1" applyFill="1" applyBorder="1" applyAlignment="1">
      <alignment vertical="center"/>
    </xf>
    <xf numFmtId="9" fontId="2" fillId="4" borderId="105" xfId="17" applyFont="1" applyFill="1" applyBorder="1" applyAlignment="1">
      <alignment vertical="center"/>
    </xf>
    <xf numFmtId="3" fontId="2" fillId="4" borderId="105" xfId="0" applyNumberFormat="1" applyFont="1" applyFill="1" applyBorder="1" applyAlignment="1">
      <alignment vertical="center"/>
    </xf>
    <xf numFmtId="3" fontId="2" fillId="4" borderId="103" xfId="0" applyNumberFormat="1" applyFont="1" applyFill="1" applyBorder="1" applyAlignment="1">
      <alignment vertical="center"/>
    </xf>
    <xf numFmtId="0" fontId="4" fillId="4" borderId="107" xfId="15" applyFont="1" applyFill="1" applyBorder="1" applyAlignment="1">
      <alignment horizontal="left" vertical="center"/>
    </xf>
    <xf numFmtId="0" fontId="4" fillId="4" borderId="105" xfId="15" applyFont="1" applyFill="1" applyBorder="1" applyAlignment="1">
      <alignment horizontal="left" vertical="center"/>
    </xf>
    <xf numFmtId="9" fontId="12" fillId="6" borderId="102" xfId="17" applyFont="1" applyFill="1" applyBorder="1" applyAlignment="1">
      <alignment vertical="center"/>
    </xf>
    <xf numFmtId="9" fontId="12" fillId="0" borderId="110" xfId="17" applyFont="1" applyFill="1" applyBorder="1" applyAlignment="1">
      <alignment horizontal="left" vertical="center"/>
    </xf>
    <xf numFmtId="1" fontId="12" fillId="0" borderId="110" xfId="17" applyNumberFormat="1" applyFont="1" applyFill="1" applyBorder="1" applyAlignment="1">
      <alignment horizontal="left" vertical="center"/>
    </xf>
    <xf numFmtId="2" fontId="12" fillId="0" borderId="110" xfId="17" applyNumberFormat="1" applyFont="1" applyFill="1" applyBorder="1" applyAlignment="1">
      <alignment horizontal="left" vertical="center"/>
    </xf>
    <xf numFmtId="3" fontId="0" fillId="0" borderId="111" xfId="0" applyNumberFormat="1" applyBorder="1" applyAlignment="1">
      <alignment vertical="center"/>
    </xf>
    <xf numFmtId="3" fontId="0" fillId="0" borderId="110" xfId="0" applyNumberFormat="1" applyBorder="1" applyAlignment="1">
      <alignment vertical="center"/>
    </xf>
    <xf numFmtId="3" fontId="0" fillId="0" borderId="112" xfId="0" applyNumberFormat="1" applyBorder="1" applyAlignment="1">
      <alignment vertical="center"/>
    </xf>
    <xf numFmtId="9" fontId="12" fillId="0" borderId="106" xfId="17" applyFont="1" applyFill="1" applyBorder="1" applyAlignment="1">
      <alignment vertical="center"/>
    </xf>
    <xf numFmtId="1" fontId="12" fillId="0" borderId="106" xfId="17" applyNumberFormat="1" applyFont="1" applyFill="1" applyBorder="1" applyAlignment="1">
      <alignment vertical="center"/>
    </xf>
    <xf numFmtId="2" fontId="12" fillId="0" borderId="106" xfId="17" applyNumberFormat="1" applyFont="1" applyFill="1" applyBorder="1" applyAlignment="1">
      <alignment vertical="center"/>
    </xf>
    <xf numFmtId="3" fontId="0" fillId="0" borderId="108" xfId="0" applyNumberFormat="1" applyBorder="1" applyAlignment="1">
      <alignment vertical="center"/>
    </xf>
    <xf numFmtId="2" fontId="0" fillId="0" borderId="106" xfId="0" applyNumberFormat="1" applyBorder="1" applyAlignment="1">
      <alignment vertical="center"/>
    </xf>
    <xf numFmtId="3" fontId="0" fillId="0" borderId="106" xfId="0" applyNumberFormat="1" applyBorder="1" applyAlignment="1">
      <alignment vertical="center"/>
    </xf>
    <xf numFmtId="3" fontId="0" fillId="0" borderId="109" xfId="0" applyNumberFormat="1" applyBorder="1" applyAlignment="1">
      <alignment vertical="center"/>
    </xf>
    <xf numFmtId="9" fontId="12" fillId="7" borderId="106" xfId="17" applyFont="1" applyFill="1" applyBorder="1" applyAlignment="1">
      <alignment vertical="center"/>
    </xf>
    <xf numFmtId="3" fontId="12" fillId="7" borderId="109" xfId="17" applyNumberFormat="1" applyFont="1" applyFill="1" applyBorder="1" applyAlignment="1">
      <alignment horizontal="left" vertical="center"/>
    </xf>
    <xf numFmtId="0" fontId="0" fillId="7" borderId="108" xfId="0" applyFill="1" applyBorder="1" applyAlignment="1">
      <alignment horizontal="left" vertical="center"/>
    </xf>
    <xf numFmtId="0" fontId="0" fillId="7" borderId="106" xfId="0" applyFill="1" applyBorder="1" applyAlignment="1">
      <alignment horizontal="left" vertical="center"/>
    </xf>
    <xf numFmtId="0" fontId="9" fillId="0" borderId="108" xfId="15" applyFont="1" applyBorder="1" applyAlignment="1">
      <alignment horizontal="left" vertical="center"/>
    </xf>
    <xf numFmtId="0" fontId="9" fillId="0" borderId="106" xfId="15" applyFont="1" applyBorder="1" applyAlignment="1">
      <alignment horizontal="left" vertical="center"/>
    </xf>
    <xf numFmtId="9" fontId="12" fillId="0" borderId="106" xfId="17" applyFont="1" applyBorder="1" applyAlignment="1">
      <alignment vertical="center"/>
    </xf>
    <xf numFmtId="3" fontId="9" fillId="2" borderId="10" xfId="0" applyNumberFormat="1" applyFont="1" applyFill="1" applyBorder="1" applyAlignment="1">
      <alignment vertical="center"/>
    </xf>
    <xf numFmtId="3" fontId="9" fillId="2" borderId="11" xfId="0" applyNumberFormat="1" applyFont="1" applyFill="1" applyBorder="1" applyAlignment="1">
      <alignment vertical="center"/>
    </xf>
    <xf numFmtId="3" fontId="0" fillId="6" borderId="104" xfId="0" applyNumberFormat="1" applyFill="1" applyBorder="1" applyAlignment="1">
      <alignment vertical="center"/>
    </xf>
    <xf numFmtId="0" fontId="4" fillId="0" borderId="111" xfId="15" applyFont="1" applyBorder="1" applyAlignment="1">
      <alignment horizontal="left" vertical="center"/>
    </xf>
    <xf numFmtId="0" fontId="4" fillId="0" borderId="110" xfId="15" applyFont="1" applyBorder="1" applyAlignment="1">
      <alignment horizontal="left" vertical="center"/>
    </xf>
    <xf numFmtId="2" fontId="0" fillId="0" borderId="110" xfId="0" applyNumberFormat="1" applyBorder="1" applyAlignment="1">
      <alignment vertical="center"/>
    </xf>
    <xf numFmtId="9" fontId="12" fillId="0" borderId="110" xfId="17" applyFont="1" applyBorder="1" applyAlignment="1">
      <alignment vertical="center"/>
    </xf>
    <xf numFmtId="3" fontId="2" fillId="2" borderId="102" xfId="0" applyNumberFormat="1" applyFont="1" applyFill="1" applyBorder="1" applyAlignment="1">
      <alignment vertical="center"/>
    </xf>
    <xf numFmtId="3" fontId="2" fillId="2" borderId="104" xfId="0" applyNumberFormat="1" applyFont="1" applyFill="1" applyBorder="1" applyAlignment="1">
      <alignment vertical="center"/>
    </xf>
    <xf numFmtId="0" fontId="0" fillId="7" borderId="111" xfId="0" applyFill="1" applyBorder="1" applyAlignment="1">
      <alignment horizontal="left" vertical="center"/>
    </xf>
    <xf numFmtId="0" fontId="0" fillId="7" borderId="110" xfId="0" applyFill="1" applyBorder="1" applyAlignment="1">
      <alignment horizontal="left" vertical="center"/>
    </xf>
    <xf numFmtId="9" fontId="12" fillId="7" borderId="110" xfId="17" applyFont="1" applyFill="1" applyBorder="1" applyAlignment="1">
      <alignment horizontal="left" vertical="center"/>
    </xf>
    <xf numFmtId="1" fontId="12" fillId="7" borderId="110" xfId="17" applyNumberFormat="1" applyFont="1" applyFill="1" applyBorder="1" applyAlignment="1">
      <alignment horizontal="left" vertical="center"/>
    </xf>
    <xf numFmtId="2" fontId="12" fillId="7" borderId="110" xfId="17" applyNumberFormat="1" applyFont="1" applyFill="1" applyBorder="1" applyAlignment="1">
      <alignment horizontal="left" vertical="center"/>
    </xf>
    <xf numFmtId="3" fontId="12" fillId="7" borderId="112" xfId="17" applyNumberFormat="1" applyFont="1" applyFill="1" applyBorder="1" applyAlignment="1">
      <alignment horizontal="left" vertical="center"/>
    </xf>
    <xf numFmtId="3" fontId="4" fillId="7" borderId="111" xfId="0" applyNumberFormat="1" applyFont="1" applyFill="1" applyBorder="1" applyAlignment="1">
      <alignment vertical="center"/>
    </xf>
    <xf numFmtId="2" fontId="0" fillId="7" borderId="110" xfId="0" applyNumberFormat="1" applyFill="1" applyBorder="1" applyAlignment="1">
      <alignment vertical="center"/>
    </xf>
    <xf numFmtId="9" fontId="12" fillId="7" borderId="110" xfId="17" applyFont="1" applyFill="1" applyBorder="1" applyAlignment="1">
      <alignment vertical="center"/>
    </xf>
    <xf numFmtId="3" fontId="0" fillId="7" borderId="110" xfId="0" applyNumberFormat="1" applyFill="1" applyBorder="1" applyAlignment="1">
      <alignment vertical="center"/>
    </xf>
    <xf numFmtId="3" fontId="0" fillId="7" borderId="111" xfId="0" applyNumberFormat="1" applyFill="1" applyBorder="1" applyAlignment="1">
      <alignment vertical="center"/>
    </xf>
    <xf numFmtId="3" fontId="0" fillId="7" borderId="112" xfId="0" applyNumberFormat="1" applyFill="1" applyBorder="1" applyAlignment="1">
      <alignment vertical="center"/>
    </xf>
    <xf numFmtId="0" fontId="0" fillId="2" borderId="98" xfId="0" applyFill="1" applyBorder="1" applyAlignment="1">
      <alignment horizontal="left" vertical="center"/>
    </xf>
    <xf numFmtId="0" fontId="2" fillId="2" borderId="99" xfId="0" applyFont="1" applyFill="1" applyBorder="1" applyAlignment="1">
      <alignment horizontal="left" vertical="center"/>
    </xf>
    <xf numFmtId="3" fontId="2" fillId="2" borderId="100" xfId="0" applyNumberFormat="1" applyFont="1" applyFill="1" applyBorder="1" applyAlignment="1">
      <alignment horizontal="left" vertical="center"/>
    </xf>
    <xf numFmtId="3" fontId="2" fillId="2" borderId="98" xfId="0" applyNumberFormat="1" applyFont="1" applyFill="1" applyBorder="1" applyAlignment="1">
      <alignment vertical="center"/>
    </xf>
    <xf numFmtId="2" fontId="2" fillId="2" borderId="99" xfId="0" applyNumberFormat="1" applyFont="1" applyFill="1" applyBorder="1" applyAlignment="1">
      <alignment vertical="center"/>
    </xf>
    <xf numFmtId="9" fontId="2" fillId="2" borderId="99" xfId="17" applyFont="1" applyFill="1" applyBorder="1" applyAlignment="1">
      <alignment vertical="center"/>
    </xf>
    <xf numFmtId="3" fontId="10" fillId="2" borderId="99" xfId="0" applyNumberFormat="1" applyFont="1" applyFill="1" applyBorder="1" applyAlignment="1">
      <alignment vertical="center"/>
    </xf>
    <xf numFmtId="3" fontId="9" fillId="2" borderId="99" xfId="0" applyNumberFormat="1" applyFont="1" applyFill="1" applyBorder="1" applyAlignment="1">
      <alignment vertical="center"/>
    </xf>
    <xf numFmtId="3" fontId="9" fillId="2" borderId="100" xfId="0" applyNumberFormat="1" applyFont="1" applyFill="1" applyBorder="1" applyAlignment="1">
      <alignment vertical="center"/>
    </xf>
    <xf numFmtId="3" fontId="0" fillId="0" borderId="113" xfId="0" applyNumberFormat="1" applyBorder="1" applyAlignment="1">
      <alignment vertical="center"/>
    </xf>
    <xf numFmtId="2" fontId="0" fillId="0" borderId="114" xfId="0" applyNumberFormat="1" applyBorder="1" applyAlignment="1">
      <alignment vertical="center"/>
    </xf>
    <xf numFmtId="9" fontId="12" fillId="0" borderId="114" xfId="17" applyFont="1" applyBorder="1" applyAlignment="1">
      <alignment vertical="center"/>
    </xf>
    <xf numFmtId="3" fontId="0" fillId="0" borderId="114" xfId="0" applyNumberFormat="1" applyBorder="1" applyAlignment="1">
      <alignment vertical="center"/>
    </xf>
    <xf numFmtId="3" fontId="0" fillId="0" borderId="115" xfId="0" applyNumberFormat="1" applyBorder="1" applyAlignment="1">
      <alignment vertical="center"/>
    </xf>
    <xf numFmtId="0" fontId="4" fillId="0" borderId="108" xfId="15" applyFont="1" applyBorder="1" applyAlignment="1">
      <alignment horizontal="left" vertical="center"/>
    </xf>
    <xf numFmtId="0" fontId="4" fillId="0" borderId="106" xfId="15" applyFont="1" applyBorder="1" applyAlignment="1">
      <alignment horizontal="left" vertical="center"/>
    </xf>
    <xf numFmtId="0" fontId="9" fillId="0" borderId="1" xfId="15" applyFont="1" applyBorder="1" applyAlignment="1">
      <alignment horizontal="left" vertical="center"/>
    </xf>
    <xf numFmtId="0" fontId="9" fillId="0" borderId="0" xfId="15" applyFont="1" applyAlignment="1">
      <alignment horizontal="left" vertical="center"/>
    </xf>
    <xf numFmtId="0" fontId="9" fillId="0" borderId="2" xfId="15" applyFont="1" applyBorder="1" applyAlignment="1">
      <alignment horizontal="left" vertical="center"/>
    </xf>
    <xf numFmtId="0" fontId="4" fillId="0" borderId="103" xfId="15" applyFont="1" applyBorder="1" applyAlignment="1">
      <alignment horizontal="left" vertical="center"/>
    </xf>
    <xf numFmtId="3" fontId="2" fillId="4" borderId="112" xfId="0" applyNumberFormat="1" applyFont="1" applyFill="1" applyBorder="1" applyAlignment="1">
      <alignment vertical="center"/>
    </xf>
    <xf numFmtId="3" fontId="2" fillId="4" borderId="110" xfId="0" applyNumberFormat="1" applyFont="1" applyFill="1" applyBorder="1" applyAlignment="1">
      <alignment vertical="center"/>
    </xf>
    <xf numFmtId="0" fontId="4" fillId="0" borderId="111" xfId="15" applyFont="1" applyBorder="1" applyAlignment="1">
      <alignment horizontal="left" vertical="center" indent="4"/>
    </xf>
    <xf numFmtId="0" fontId="4" fillId="0" borderId="110" xfId="15" applyFont="1" applyBorder="1" applyAlignment="1">
      <alignment horizontal="left" vertical="center" indent="4"/>
    </xf>
    <xf numFmtId="3" fontId="2" fillId="14" borderId="7" xfId="0" applyNumberFormat="1" applyFont="1" applyFill="1" applyBorder="1" applyAlignment="1">
      <alignment vertical="center"/>
    </xf>
    <xf numFmtId="0" fontId="2" fillId="0" borderId="102" xfId="0" applyFont="1" applyBorder="1" applyAlignment="1">
      <alignment horizontal="left" vertical="center"/>
    </xf>
    <xf numFmtId="3" fontId="2" fillId="0" borderId="102" xfId="0" applyNumberFormat="1" applyFont="1" applyBorder="1" applyAlignment="1">
      <alignment vertical="center"/>
    </xf>
    <xf numFmtId="2" fontId="2" fillId="0" borderId="102" xfId="0" applyNumberFormat="1" applyFont="1" applyBorder="1" applyAlignment="1">
      <alignment vertical="center"/>
    </xf>
    <xf numFmtId="9" fontId="2" fillId="0" borderId="102" xfId="17" applyFont="1" applyBorder="1" applyAlignment="1">
      <alignment vertical="center"/>
    </xf>
    <xf numFmtId="3" fontId="19" fillId="14" borderId="12" xfId="0" applyNumberFormat="1" applyFont="1" applyFill="1" applyBorder="1" applyAlignment="1">
      <alignment vertical="center"/>
    </xf>
    <xf numFmtId="3" fontId="2" fillId="20" borderId="7" xfId="0" applyNumberFormat="1" applyFont="1" applyFill="1" applyBorder="1" applyAlignment="1">
      <alignment vertical="center"/>
    </xf>
    <xf numFmtId="9" fontId="0" fillId="0" borderId="110" xfId="17" applyFont="1" applyFill="1" applyBorder="1" applyAlignment="1">
      <alignment horizontal="left" vertical="center"/>
    </xf>
    <xf numFmtId="0" fontId="2" fillId="2" borderId="98" xfId="0" applyFont="1" applyFill="1" applyBorder="1" applyAlignment="1">
      <alignment horizontal="left" vertical="center"/>
    </xf>
    <xf numFmtId="3" fontId="2" fillId="2" borderId="99" xfId="0" applyNumberFormat="1" applyFont="1" applyFill="1" applyBorder="1" applyAlignment="1">
      <alignment vertical="center"/>
    </xf>
    <xf numFmtId="3" fontId="2" fillId="2" borderId="100" xfId="0" applyNumberFormat="1" applyFont="1" applyFill="1" applyBorder="1" applyAlignment="1">
      <alignment vertical="center"/>
    </xf>
    <xf numFmtId="0" fontId="9" fillId="0" borderId="117" xfId="15" applyFont="1" applyBorder="1" applyAlignment="1">
      <alignment horizontal="left" vertical="center"/>
    </xf>
    <xf numFmtId="0" fontId="9" fillId="0" borderId="118" xfId="15" applyFont="1" applyBorder="1" applyAlignment="1">
      <alignment horizontal="left" vertical="center"/>
    </xf>
    <xf numFmtId="3" fontId="0" fillId="0" borderId="118" xfId="0" applyNumberFormat="1" applyBorder="1" applyAlignment="1">
      <alignment vertical="center"/>
    </xf>
    <xf numFmtId="3" fontId="0" fillId="0" borderId="117" xfId="0" applyNumberFormat="1" applyBorder="1" applyAlignment="1">
      <alignment vertical="center"/>
    </xf>
    <xf numFmtId="2" fontId="0" fillId="0" borderId="118" xfId="0" applyNumberFormat="1" applyBorder="1" applyAlignment="1">
      <alignment vertical="center"/>
    </xf>
    <xf numFmtId="9" fontId="0" fillId="0" borderId="118" xfId="17" applyFont="1" applyBorder="1" applyAlignment="1">
      <alignment vertical="center"/>
    </xf>
    <xf numFmtId="9" fontId="0" fillId="0" borderId="105" xfId="17" applyFont="1" applyBorder="1" applyAlignment="1">
      <alignment vertical="center"/>
    </xf>
    <xf numFmtId="9" fontId="0" fillId="0" borderId="110" xfId="17" applyFont="1" applyBorder="1" applyAlignment="1">
      <alignment vertical="center"/>
    </xf>
    <xf numFmtId="9" fontId="0" fillId="0" borderId="106" xfId="17" applyFont="1" applyBorder="1" applyAlignment="1">
      <alignment vertical="center"/>
    </xf>
    <xf numFmtId="3" fontId="0" fillId="0" borderId="120" xfId="0" applyNumberFormat="1" applyBorder="1" applyAlignment="1">
      <alignment vertical="center"/>
    </xf>
    <xf numFmtId="2" fontId="0" fillId="0" borderId="119" xfId="0" applyNumberFormat="1" applyBorder="1" applyAlignment="1">
      <alignment vertical="center"/>
    </xf>
    <xf numFmtId="9" fontId="0" fillId="0" borderId="119" xfId="17" applyFont="1" applyBorder="1" applyAlignment="1">
      <alignment vertical="center"/>
    </xf>
    <xf numFmtId="3" fontId="0" fillId="0" borderId="119" xfId="0" applyNumberFormat="1" applyBorder="1" applyAlignment="1">
      <alignment vertical="center"/>
    </xf>
    <xf numFmtId="3" fontId="0" fillId="4" borderId="105" xfId="0" applyNumberFormat="1" applyFill="1" applyBorder="1" applyAlignment="1">
      <alignment vertical="center"/>
    </xf>
    <xf numFmtId="3" fontId="0" fillId="4" borderId="107" xfId="0" applyNumberFormat="1" applyFill="1" applyBorder="1" applyAlignment="1">
      <alignment vertical="center"/>
    </xf>
    <xf numFmtId="2" fontId="0" fillId="4" borderId="105" xfId="0" applyNumberFormat="1" applyFill="1" applyBorder="1" applyAlignment="1">
      <alignment vertical="center"/>
    </xf>
    <xf numFmtId="9" fontId="0" fillId="4" borderId="105" xfId="17" applyFont="1" applyFill="1" applyBorder="1" applyAlignment="1">
      <alignment vertical="center"/>
    </xf>
    <xf numFmtId="3" fontId="0" fillId="4" borderId="103" xfId="0" applyNumberFormat="1" applyFill="1" applyBorder="1" applyAlignment="1">
      <alignment vertical="center"/>
    </xf>
    <xf numFmtId="0" fontId="11" fillId="4" borderId="111" xfId="15" applyFont="1" applyFill="1" applyBorder="1" applyAlignment="1">
      <alignment horizontal="left" vertical="center"/>
    </xf>
    <xf numFmtId="0" fontId="11" fillId="4" borderId="110" xfId="15" applyFont="1" applyFill="1" applyBorder="1" applyAlignment="1">
      <alignment horizontal="left" vertical="center"/>
    </xf>
    <xf numFmtId="3" fontId="0" fillId="4" borderId="110" xfId="0" applyNumberFormat="1" applyFill="1" applyBorder="1" applyAlignment="1">
      <alignment vertical="center"/>
    </xf>
    <xf numFmtId="3" fontId="0" fillId="4" borderId="111" xfId="0" applyNumberFormat="1" applyFill="1" applyBorder="1" applyAlignment="1">
      <alignment vertical="center"/>
    </xf>
    <xf numFmtId="2" fontId="0" fillId="4" borderId="110" xfId="0" applyNumberFormat="1" applyFill="1" applyBorder="1" applyAlignment="1">
      <alignment vertical="center"/>
    </xf>
    <xf numFmtId="9" fontId="0" fillId="4" borderId="110" xfId="17" applyFont="1" applyFill="1" applyBorder="1" applyAlignment="1">
      <alignment vertical="center"/>
    </xf>
    <xf numFmtId="3" fontId="0" fillId="4" borderId="112" xfId="0" applyNumberFormat="1" applyFill="1" applyBorder="1" applyAlignment="1">
      <alignment vertical="center"/>
    </xf>
    <xf numFmtId="3" fontId="0" fillId="2" borderId="99" xfId="0" applyNumberFormat="1" applyFill="1" applyBorder="1" applyAlignment="1">
      <alignment vertical="center"/>
    </xf>
    <xf numFmtId="9" fontId="0" fillId="0" borderId="105" xfId="17" applyFont="1" applyFill="1" applyBorder="1" applyAlignment="1">
      <alignment vertical="center"/>
    </xf>
    <xf numFmtId="3" fontId="2" fillId="4" borderId="111" xfId="0" applyNumberFormat="1" applyFont="1" applyFill="1" applyBorder="1" applyAlignment="1">
      <alignment vertical="center"/>
    </xf>
    <xf numFmtId="3" fontId="19" fillId="2" borderId="4" xfId="0" applyNumberFormat="1" applyFont="1" applyFill="1" applyBorder="1" applyAlignment="1">
      <alignment vertical="center"/>
    </xf>
    <xf numFmtId="3" fontId="19" fillId="2" borderId="3" xfId="0" applyNumberFormat="1" applyFont="1" applyFill="1" applyBorder="1" applyAlignment="1">
      <alignment vertical="center"/>
    </xf>
    <xf numFmtId="2" fontId="19" fillId="2" borderId="4" xfId="0" applyNumberFormat="1" applyFont="1" applyFill="1" applyBorder="1" applyAlignment="1">
      <alignment vertical="center"/>
    </xf>
    <xf numFmtId="9" fontId="19" fillId="2" borderId="4" xfId="17" applyFont="1" applyFill="1" applyBorder="1" applyAlignment="1">
      <alignment vertical="center"/>
    </xf>
    <xf numFmtId="3" fontId="19" fillId="2" borderId="5" xfId="0" applyNumberFormat="1" applyFont="1" applyFill="1" applyBorder="1" applyAlignment="1">
      <alignment vertical="center"/>
    </xf>
    <xf numFmtId="0" fontId="9" fillId="2" borderId="121" xfId="15" applyFont="1" applyFill="1" applyBorder="1" applyAlignment="1">
      <alignment horizontal="left" vertical="center"/>
    </xf>
    <xf numFmtId="0" fontId="9" fillId="2" borderId="122" xfId="15" applyFont="1" applyFill="1" applyBorder="1" applyAlignment="1">
      <alignment horizontal="left" vertical="center"/>
    </xf>
    <xf numFmtId="3" fontId="0" fillId="2" borderId="122" xfId="0" applyNumberFormat="1" applyFill="1" applyBorder="1" applyAlignment="1">
      <alignment vertical="center"/>
    </xf>
    <xf numFmtId="0" fontId="0" fillId="10" borderId="7" xfId="0" applyFill="1" applyBorder="1" applyAlignment="1">
      <alignment vertical="center"/>
    </xf>
    <xf numFmtId="3" fontId="2" fillId="19" borderId="2" xfId="0" applyNumberFormat="1" applyFont="1" applyFill="1" applyBorder="1" applyAlignment="1">
      <alignment vertical="center"/>
    </xf>
    <xf numFmtId="3" fontId="19" fillId="10" borderId="11" xfId="0" applyNumberFormat="1" applyFont="1" applyFill="1" applyBorder="1" applyAlignment="1">
      <alignment vertical="center"/>
    </xf>
    <xf numFmtId="2" fontId="2" fillId="4" borderId="110" xfId="0" applyNumberFormat="1" applyFont="1" applyFill="1" applyBorder="1" applyAlignment="1">
      <alignment vertical="center"/>
    </xf>
    <xf numFmtId="9" fontId="2" fillId="4" borderId="110" xfId="17" applyFont="1" applyFill="1" applyBorder="1" applyAlignment="1">
      <alignment vertical="center"/>
    </xf>
    <xf numFmtId="3" fontId="2" fillId="2" borderId="121" xfId="0" applyNumberFormat="1" applyFont="1" applyFill="1" applyBorder="1" applyAlignment="1">
      <alignment vertical="center"/>
    </xf>
    <xf numFmtId="2" fontId="2" fillId="2" borderId="122" xfId="0" applyNumberFormat="1" applyFont="1" applyFill="1" applyBorder="1" applyAlignment="1">
      <alignment vertical="center"/>
    </xf>
    <xf numFmtId="9" fontId="2" fillId="2" borderId="122" xfId="17" applyFont="1" applyFill="1" applyBorder="1" applyAlignment="1">
      <alignment vertical="center"/>
    </xf>
    <xf numFmtId="3" fontId="2" fillId="2" borderId="122" xfId="0" applyNumberFormat="1" applyFont="1" applyFill="1" applyBorder="1" applyAlignment="1">
      <alignment vertical="center"/>
    </xf>
    <xf numFmtId="3" fontId="2" fillId="2" borderId="123" xfId="0" applyNumberFormat="1" applyFont="1" applyFill="1" applyBorder="1" applyAlignment="1">
      <alignment vertical="center"/>
    </xf>
    <xf numFmtId="0" fontId="2" fillId="0" borderId="118" xfId="0" applyFont="1" applyBorder="1" applyAlignment="1">
      <alignment horizontal="left" vertical="center" wrapText="1"/>
    </xf>
    <xf numFmtId="2" fontId="0" fillId="0" borderId="118" xfId="0" applyNumberFormat="1" applyBorder="1" applyAlignment="1">
      <alignment vertical="center" wrapText="1"/>
    </xf>
    <xf numFmtId="0" fontId="0" fillId="0" borderId="118" xfId="0" applyBorder="1" applyAlignment="1">
      <alignment vertical="center" wrapText="1"/>
    </xf>
    <xf numFmtId="0" fontId="0" fillId="0" borderId="124" xfId="0" applyBorder="1" applyAlignment="1">
      <alignment vertical="center" wrapText="1"/>
    </xf>
    <xf numFmtId="3" fontId="0" fillId="11" borderId="105" xfId="0" applyNumberFormat="1" applyFill="1" applyBorder="1" applyAlignment="1">
      <alignment vertical="center"/>
    </xf>
    <xf numFmtId="3" fontId="0" fillId="11" borderId="103" xfId="0" applyNumberFormat="1" applyFill="1" applyBorder="1" applyAlignment="1">
      <alignment vertical="center"/>
    </xf>
    <xf numFmtId="0" fontId="0" fillId="0" borderId="117" xfId="0" applyBorder="1" applyAlignment="1">
      <alignment vertical="center" wrapText="1"/>
    </xf>
    <xf numFmtId="3" fontId="0" fillId="11" borderId="112" xfId="0" applyNumberFormat="1" applyFill="1" applyBorder="1" applyAlignment="1">
      <alignment vertical="center"/>
    </xf>
    <xf numFmtId="3" fontId="0" fillId="11" borderId="110" xfId="0" applyNumberFormat="1" applyFill="1" applyBorder="1" applyAlignment="1">
      <alignment vertical="center"/>
    </xf>
    <xf numFmtId="3" fontId="0" fillId="4" borderId="96" xfId="0" applyNumberFormat="1" applyFill="1" applyBorder="1" applyAlignment="1">
      <alignment vertical="center"/>
    </xf>
    <xf numFmtId="3" fontId="2" fillId="17" borderId="2" xfId="0" applyNumberFormat="1" applyFont="1" applyFill="1" applyBorder="1" applyAlignment="1">
      <alignment vertical="center"/>
    </xf>
    <xf numFmtId="3" fontId="2" fillId="2" borderId="0" xfId="0" applyNumberFormat="1" applyFont="1" applyFill="1" applyAlignment="1">
      <alignment vertical="center"/>
    </xf>
    <xf numFmtId="3" fontId="19" fillId="12" borderId="11" xfId="0" applyNumberFormat="1" applyFont="1" applyFill="1" applyBorder="1" applyAlignment="1">
      <alignment vertical="center"/>
    </xf>
    <xf numFmtId="2" fontId="2" fillId="4" borderId="95" xfId="0" applyNumberFormat="1" applyFont="1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44" fontId="0" fillId="7" borderId="131" xfId="18" applyFont="1" applyFill="1" applyBorder="1"/>
    <xf numFmtId="44" fontId="0" fillId="7" borderId="132" xfId="18" applyFont="1" applyFill="1" applyBorder="1"/>
    <xf numFmtId="3" fontId="14" fillId="0" borderId="107" xfId="0" applyNumberFormat="1" applyFont="1" applyBorder="1" applyAlignment="1">
      <alignment vertical="center"/>
    </xf>
    <xf numFmtId="0" fontId="4" fillId="22" borderId="107" xfId="15" applyFont="1" applyFill="1" applyBorder="1" applyAlignment="1">
      <alignment horizontal="left" vertical="center"/>
    </xf>
    <xf numFmtId="0" fontId="4" fillId="22" borderId="105" xfId="15" applyFont="1" applyFill="1" applyBorder="1" applyAlignment="1">
      <alignment horizontal="left" vertical="center"/>
    </xf>
    <xf numFmtId="0" fontId="4" fillId="22" borderId="111" xfId="15" applyFont="1" applyFill="1" applyBorder="1" applyAlignment="1">
      <alignment horizontal="left" vertical="center"/>
    </xf>
    <xf numFmtId="0" fontId="4" fillId="22" borderId="110" xfId="15" applyFont="1" applyFill="1" applyBorder="1" applyAlignment="1">
      <alignment horizontal="left" vertical="center"/>
    </xf>
    <xf numFmtId="9" fontId="0" fillId="13" borderId="0" xfId="0" applyNumberFormat="1" applyFill="1"/>
    <xf numFmtId="2" fontId="4" fillId="0" borderId="105" xfId="0" applyNumberFormat="1" applyFont="1" applyBorder="1" applyAlignment="1">
      <alignment vertical="center"/>
    </xf>
    <xf numFmtId="9" fontId="4" fillId="6" borderId="0" xfId="17" applyFont="1" applyFill="1" applyBorder="1" applyAlignment="1">
      <alignment vertical="center"/>
    </xf>
    <xf numFmtId="3" fontId="4" fillId="0" borderId="105" xfId="0" applyNumberFormat="1" applyFont="1" applyBorder="1" applyAlignment="1">
      <alignment vertical="center"/>
    </xf>
    <xf numFmtId="3" fontId="4" fillId="0" borderId="103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9" fillId="23" borderId="0" xfId="0" applyFont="1" applyFill="1" applyAlignment="1">
      <alignment horizontal="left" vertical="center"/>
    </xf>
    <xf numFmtId="3" fontId="39" fillId="23" borderId="0" xfId="0" applyNumberFormat="1" applyFont="1" applyFill="1" applyAlignment="1">
      <alignment vertical="center"/>
    </xf>
    <xf numFmtId="2" fontId="39" fillId="23" borderId="0" xfId="0" applyNumberFormat="1" applyFont="1" applyFill="1" applyAlignment="1">
      <alignment vertical="center"/>
    </xf>
    <xf numFmtId="9" fontId="39" fillId="23" borderId="0" xfId="17" applyFont="1" applyFill="1" applyAlignment="1">
      <alignment vertical="center"/>
    </xf>
    <xf numFmtId="166" fontId="39" fillId="23" borderId="0" xfId="18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0" borderId="107" xfId="15" applyFont="1" applyBorder="1" applyAlignment="1">
      <alignment vertical="top"/>
    </xf>
    <xf numFmtId="0" fontId="4" fillId="0" borderId="111" xfId="15" applyFont="1" applyBorder="1" applyAlignment="1">
      <alignment vertical="center"/>
    </xf>
    <xf numFmtId="0" fontId="0" fillId="0" borderId="110" xfId="17" applyNumberFormat="1" applyFont="1" applyBorder="1" applyAlignment="1">
      <alignment vertical="center"/>
    </xf>
    <xf numFmtId="3" fontId="5" fillId="0" borderId="108" xfId="20" applyNumberFormat="1" applyBorder="1" applyAlignment="1">
      <alignment vertical="center"/>
    </xf>
    <xf numFmtId="3" fontId="0" fillId="6" borderId="0" xfId="0" applyNumberFormat="1" applyFill="1" applyAlignment="1">
      <alignment vertical="center"/>
    </xf>
    <xf numFmtId="0" fontId="5" fillId="0" borderId="0" xfId="20" applyAlignment="1">
      <alignment vertical="center"/>
    </xf>
    <xf numFmtId="166" fontId="40" fillId="13" borderId="12" xfId="18" applyNumberFormat="1" applyFont="1" applyFill="1" applyBorder="1" applyAlignment="1">
      <alignment horizontal="center"/>
    </xf>
    <xf numFmtId="166" fontId="40" fillId="0" borderId="12" xfId="18" applyNumberFormat="1" applyFont="1" applyBorder="1" applyAlignment="1">
      <alignment horizontal="center"/>
    </xf>
    <xf numFmtId="166" fontId="40" fillId="0" borderId="12" xfId="18" applyNumberFormat="1" applyFont="1" applyFill="1" applyBorder="1" applyAlignment="1">
      <alignment horizontal="center"/>
    </xf>
    <xf numFmtId="3" fontId="17" fillId="2" borderId="3" xfId="0" applyNumberFormat="1" applyFont="1" applyFill="1" applyBorder="1" applyAlignment="1">
      <alignment vertical="center"/>
    </xf>
    <xf numFmtId="2" fontId="17" fillId="2" borderId="4" xfId="0" applyNumberFormat="1" applyFont="1" applyFill="1" applyBorder="1" applyAlignment="1">
      <alignment vertical="center"/>
    </xf>
    <xf numFmtId="9" fontId="17" fillId="2" borderId="4" xfId="17" applyFont="1" applyFill="1" applyBorder="1" applyAlignment="1">
      <alignment vertical="center"/>
    </xf>
    <xf numFmtId="3" fontId="17" fillId="2" borderId="4" xfId="0" applyNumberFormat="1" applyFont="1" applyFill="1" applyBorder="1" applyAlignment="1">
      <alignment vertical="center"/>
    </xf>
    <xf numFmtId="3" fontId="17" fillId="2" borderId="5" xfId="0" applyNumberFormat="1" applyFont="1" applyFill="1" applyBorder="1" applyAlignment="1">
      <alignment vertical="center"/>
    </xf>
    <xf numFmtId="0" fontId="18" fillId="22" borderId="0" xfId="0" applyFont="1" applyFill="1" applyAlignment="1">
      <alignment vertical="center"/>
    </xf>
    <xf numFmtId="0" fontId="17" fillId="22" borderId="10" xfId="0" applyFont="1" applyFill="1" applyBorder="1" applyAlignment="1">
      <alignment horizontal="left" vertical="center"/>
    </xf>
    <xf numFmtId="3" fontId="17" fillId="22" borderId="10" xfId="0" applyNumberFormat="1" applyFont="1" applyFill="1" applyBorder="1" applyAlignment="1">
      <alignment vertical="center"/>
    </xf>
    <xf numFmtId="3" fontId="17" fillId="22" borderId="3" xfId="0" applyNumberFormat="1" applyFont="1" applyFill="1" applyBorder="1" applyAlignment="1">
      <alignment vertical="center"/>
    </xf>
    <xf numFmtId="2" fontId="17" fillId="22" borderId="4" xfId="0" applyNumberFormat="1" applyFont="1" applyFill="1" applyBorder="1" applyAlignment="1">
      <alignment vertical="center"/>
    </xf>
    <xf numFmtId="9" fontId="17" fillId="22" borderId="4" xfId="17" applyFont="1" applyFill="1" applyBorder="1" applyAlignment="1">
      <alignment vertical="center"/>
    </xf>
    <xf numFmtId="3" fontId="17" fillId="22" borderId="4" xfId="0" applyNumberFormat="1" applyFont="1" applyFill="1" applyBorder="1" applyAlignment="1">
      <alignment vertical="center"/>
    </xf>
    <xf numFmtId="166" fontId="40" fillId="22" borderId="12" xfId="18" applyNumberFormat="1" applyFont="1" applyFill="1" applyBorder="1" applyAlignment="1">
      <alignment horizontal="center"/>
    </xf>
    <xf numFmtId="3" fontId="12" fillId="6" borderId="2" xfId="17" applyNumberFormat="1" applyFont="1" applyFill="1" applyBorder="1" applyAlignment="1">
      <alignment horizontal="right" vertical="center"/>
    </xf>
    <xf numFmtId="3" fontId="2" fillId="2" borderId="97" xfId="0" applyNumberFormat="1" applyFont="1" applyFill="1" applyBorder="1" applyAlignment="1">
      <alignment horizontal="right" vertical="center"/>
    </xf>
    <xf numFmtId="3" fontId="12" fillId="0" borderId="2" xfId="17" applyNumberFormat="1" applyFont="1" applyFill="1" applyBorder="1" applyAlignment="1">
      <alignment horizontal="right" vertical="center"/>
    </xf>
    <xf numFmtId="3" fontId="4" fillId="6" borderId="0" xfId="0" applyNumberFormat="1" applyFont="1" applyFill="1" applyAlignment="1">
      <alignment vertical="center"/>
    </xf>
    <xf numFmtId="3" fontId="2" fillId="2" borderId="10" xfId="0" applyNumberFormat="1" applyFont="1" applyFill="1" applyBorder="1" applyAlignment="1">
      <alignment vertical="center"/>
    </xf>
    <xf numFmtId="3" fontId="5" fillId="0" borderId="105" xfId="20" applyNumberFormat="1" applyFill="1" applyBorder="1" applyAlignment="1">
      <alignment vertical="center"/>
    </xf>
    <xf numFmtId="0" fontId="4" fillId="0" borderId="111" xfId="15" quotePrefix="1" applyFont="1" applyBorder="1" applyAlignment="1">
      <alignment horizontal="left" vertical="center"/>
    </xf>
    <xf numFmtId="0" fontId="4" fillId="0" borderId="103" xfId="15" applyFont="1" applyBorder="1" applyAlignment="1">
      <alignment horizontal="left" vertical="center" indent="4"/>
    </xf>
    <xf numFmtId="2" fontId="0" fillId="0" borderId="107" xfId="0" applyNumberFormat="1" applyBorder="1" applyAlignment="1">
      <alignment vertical="center"/>
    </xf>
    <xf numFmtId="2" fontId="0" fillId="0" borderId="120" xfId="0" applyNumberFormat="1" applyBorder="1" applyAlignment="1">
      <alignment vertical="center"/>
    </xf>
    <xf numFmtId="3" fontId="0" fillId="4" borderId="135" xfId="0" applyNumberFormat="1" applyFill="1" applyBorder="1" applyAlignment="1">
      <alignment vertical="center"/>
    </xf>
    <xf numFmtId="2" fontId="0" fillId="4" borderId="136" xfId="0" applyNumberFormat="1" applyFill="1" applyBorder="1" applyAlignment="1">
      <alignment vertical="center"/>
    </xf>
    <xf numFmtId="9" fontId="0" fillId="4" borderId="136" xfId="17" applyFont="1" applyFill="1" applyBorder="1" applyAlignment="1">
      <alignment vertical="center"/>
    </xf>
    <xf numFmtId="3" fontId="0" fillId="4" borderId="136" xfId="0" applyNumberFormat="1" applyFill="1" applyBorder="1" applyAlignment="1">
      <alignment vertical="center"/>
    </xf>
    <xf numFmtId="3" fontId="0" fillId="4" borderId="137" xfId="0" applyNumberFormat="1" applyFill="1" applyBorder="1" applyAlignment="1">
      <alignment vertical="center"/>
    </xf>
    <xf numFmtId="9" fontId="4" fillId="0" borderId="110" xfId="17" applyFont="1" applyBorder="1" applyAlignment="1">
      <alignment horizontal="left" vertical="center"/>
    </xf>
    <xf numFmtId="3" fontId="2" fillId="24" borderId="0" xfId="0" applyNumberFormat="1" applyFont="1" applyFill="1" applyAlignment="1">
      <alignment vertical="center"/>
    </xf>
    <xf numFmtId="0" fontId="3" fillId="18" borderId="6" xfId="0" applyFont="1" applyFill="1" applyBorder="1" applyAlignment="1">
      <alignment horizontal="center" vertical="center"/>
    </xf>
    <xf numFmtId="0" fontId="0" fillId="18" borderId="7" xfId="0" applyFill="1" applyBorder="1" applyAlignment="1">
      <alignment vertical="center"/>
    </xf>
    <xf numFmtId="0" fontId="3" fillId="18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0" fillId="5" borderId="7" xfId="0" applyNumberFormat="1" applyFill="1" applyBorder="1" applyAlignment="1">
      <alignment vertical="center"/>
    </xf>
    <xf numFmtId="3" fontId="2" fillId="2" borderId="138" xfId="0" applyNumberFormat="1" applyFont="1" applyFill="1" applyBorder="1" applyAlignment="1">
      <alignment vertical="center"/>
    </xf>
    <xf numFmtId="3" fontId="0" fillId="3" borderId="7" xfId="0" applyNumberFormat="1" applyFill="1" applyBorder="1" applyAlignment="1">
      <alignment vertical="center"/>
    </xf>
    <xf numFmtId="3" fontId="2" fillId="4" borderId="139" xfId="0" applyNumberFormat="1" applyFont="1" applyFill="1" applyBorder="1" applyAlignment="1">
      <alignment vertical="center"/>
    </xf>
    <xf numFmtId="3" fontId="19" fillId="2" borderId="12" xfId="0" applyNumberFormat="1" applyFont="1" applyFill="1" applyBorder="1" applyAlignment="1">
      <alignment vertical="center"/>
    </xf>
    <xf numFmtId="3" fontId="15" fillId="2" borderId="12" xfId="0" applyNumberFormat="1" applyFont="1" applyFill="1" applyBorder="1" applyAlignment="1">
      <alignment vertical="center"/>
    </xf>
    <xf numFmtId="3" fontId="16" fillId="0" borderId="0" xfId="0" applyNumberFormat="1" applyFont="1" applyAlignment="1">
      <alignment vertical="center"/>
    </xf>
    <xf numFmtId="0" fontId="9" fillId="2" borderId="9" xfId="15" applyFont="1" applyFill="1" applyBorder="1" applyAlignment="1">
      <alignment horizontal="left" vertical="center"/>
    </xf>
    <xf numFmtId="0" fontId="9" fillId="2" borderId="10" xfId="15" applyFont="1" applyFill="1" applyBorder="1" applyAlignment="1">
      <alignment horizontal="left" vertical="center"/>
    </xf>
    <xf numFmtId="166" fontId="36" fillId="6" borderId="65" xfId="18" applyNumberFormat="1" applyFont="1" applyFill="1" applyBorder="1"/>
    <xf numFmtId="166" fontId="34" fillId="6" borderId="64" xfId="18" applyNumberFormat="1" applyFont="1" applyFill="1" applyBorder="1"/>
    <xf numFmtId="166" fontId="29" fillId="14" borderId="64" xfId="0" applyNumberFormat="1" applyFont="1" applyFill="1" applyBorder="1" applyAlignment="1">
      <alignment horizontal="center"/>
    </xf>
    <xf numFmtId="166" fontId="0" fillId="0" borderId="65" xfId="18" applyNumberFormat="1" applyFont="1" applyBorder="1"/>
    <xf numFmtId="166" fontId="0" fillId="0" borderId="125" xfId="18" applyNumberFormat="1" applyFont="1" applyBorder="1"/>
    <xf numFmtId="166" fontId="34" fillId="13" borderId="64" xfId="18" applyNumberFormat="1" applyFont="1" applyFill="1" applyBorder="1"/>
    <xf numFmtId="166" fontId="0" fillId="6" borderId="127" xfId="18" applyNumberFormat="1" applyFont="1" applyFill="1" applyBorder="1"/>
    <xf numFmtId="166" fontId="34" fillId="6" borderId="0" xfId="18" applyNumberFormat="1" applyFont="1" applyFill="1" applyBorder="1"/>
    <xf numFmtId="166" fontId="29" fillId="14" borderId="0" xfId="0" applyNumberFormat="1" applyFont="1" applyFill="1" applyAlignment="1">
      <alignment horizontal="center"/>
    </xf>
    <xf numFmtId="166" fontId="0" fillId="0" borderId="50" xfId="18" applyNumberFormat="1" applyFont="1" applyBorder="1"/>
    <xf numFmtId="166" fontId="0" fillId="0" borderId="126" xfId="18" applyNumberFormat="1" applyFont="1" applyBorder="1"/>
    <xf numFmtId="166" fontId="34" fillId="13" borderId="0" xfId="18" applyNumberFormat="1" applyFont="1" applyFill="1" applyBorder="1"/>
    <xf numFmtId="166" fontId="0" fillId="6" borderId="128" xfId="18" applyNumberFormat="1" applyFont="1" applyFill="1" applyBorder="1"/>
    <xf numFmtId="167" fontId="0" fillId="13" borderId="39" xfId="18" applyNumberFormat="1" applyFont="1" applyFill="1" applyBorder="1"/>
    <xf numFmtId="167" fontId="0" fillId="13" borderId="48" xfId="18" applyNumberFormat="1" applyFont="1" applyFill="1" applyBorder="1"/>
    <xf numFmtId="167" fontId="0" fillId="11" borderId="130" xfId="18" applyNumberFormat="1" applyFont="1" applyFill="1" applyBorder="1"/>
    <xf numFmtId="167" fontId="0" fillId="11" borderId="129" xfId="18" applyNumberFormat="1" applyFont="1" applyFill="1" applyBorder="1"/>
    <xf numFmtId="166" fontId="0" fillId="13" borderId="16" xfId="18" applyNumberFormat="1" applyFont="1" applyFill="1" applyBorder="1"/>
    <xf numFmtId="166" fontId="0" fillId="13" borderId="37" xfId="18" applyNumberFormat="1" applyFont="1" applyFill="1" applyBorder="1"/>
    <xf numFmtId="166" fontId="0" fillId="9" borderId="133" xfId="18" applyNumberFormat="1" applyFont="1" applyFill="1" applyBorder="1"/>
    <xf numFmtId="166" fontId="0" fillId="9" borderId="134" xfId="18" applyNumberFormat="1" applyFont="1" applyFill="1" applyBorder="1"/>
    <xf numFmtId="3" fontId="0" fillId="21" borderId="0" xfId="0" applyNumberFormat="1" applyFill="1" applyAlignment="1">
      <alignment vertical="center"/>
    </xf>
    <xf numFmtId="165" fontId="1" fillId="22" borderId="0" xfId="19" applyNumberFormat="1" applyFont="1" applyFill="1"/>
    <xf numFmtId="0" fontId="34" fillId="6" borderId="0" xfId="0" applyFont="1" applyFill="1" applyAlignment="1">
      <alignment horizontal="right"/>
    </xf>
    <xf numFmtId="0" fontId="34" fillId="6" borderId="67" xfId="0" applyFont="1" applyFill="1" applyBorder="1" applyAlignment="1">
      <alignment horizontal="right"/>
    </xf>
    <xf numFmtId="0" fontId="29" fillId="15" borderId="87" xfId="0" applyFont="1" applyFill="1" applyBorder="1" applyAlignment="1">
      <alignment horizontal="center"/>
    </xf>
    <xf numFmtId="0" fontId="29" fillId="15" borderId="88" xfId="0" applyFont="1" applyFill="1" applyBorder="1" applyAlignment="1">
      <alignment horizontal="center"/>
    </xf>
    <xf numFmtId="0" fontId="34" fillId="14" borderId="63" xfId="0" applyFont="1" applyFill="1" applyBorder="1" applyAlignment="1">
      <alignment horizontal="left" indent="1"/>
    </xf>
    <xf numFmtId="0" fontId="34" fillId="14" borderId="0" xfId="0" applyFont="1" applyFill="1" applyAlignment="1">
      <alignment horizontal="left" indent="1"/>
    </xf>
    <xf numFmtId="0" fontId="0" fillId="13" borderId="32" xfId="0" applyFill="1" applyBorder="1" applyAlignment="1">
      <alignment horizontal="left"/>
    </xf>
    <xf numFmtId="0" fontId="0" fillId="13" borderId="33" xfId="0" applyFill="1" applyBorder="1" applyAlignment="1">
      <alignment horizontal="left"/>
    </xf>
    <xf numFmtId="0" fontId="0" fillId="13" borderId="81" xfId="0" applyFill="1" applyBorder="1" applyAlignment="1">
      <alignment horizontal="left"/>
    </xf>
    <xf numFmtId="0" fontId="34" fillId="6" borderId="51" xfId="0" applyFont="1" applyFill="1" applyBorder="1" applyAlignment="1">
      <alignment horizontal="right"/>
    </xf>
    <xf numFmtId="0" fontId="34" fillId="6" borderId="51" xfId="0" applyFont="1" applyFill="1" applyBorder="1" applyAlignment="1">
      <alignment horizontal="right" indent="1"/>
    </xf>
    <xf numFmtId="0" fontId="34" fillId="6" borderId="0" xfId="0" applyFont="1" applyFill="1" applyAlignment="1">
      <alignment horizontal="left"/>
    </xf>
    <xf numFmtId="0" fontId="34" fillId="6" borderId="63" xfId="0" applyFont="1" applyFill="1" applyBorder="1" applyAlignment="1">
      <alignment horizontal="center" vertical="center"/>
    </xf>
    <xf numFmtId="0" fontId="34" fillId="6" borderId="58" xfId="0" applyFont="1" applyFill="1" applyBorder="1" applyAlignment="1">
      <alignment horizontal="center" vertical="center"/>
    </xf>
    <xf numFmtId="0" fontId="34" fillId="6" borderId="73" xfId="0" applyFont="1" applyFill="1" applyBorder="1" applyAlignment="1">
      <alignment horizontal="center" vertical="center"/>
    </xf>
    <xf numFmtId="0" fontId="34" fillId="6" borderId="59" xfId="0" applyFont="1" applyFill="1" applyBorder="1" applyAlignment="1">
      <alignment horizontal="center" vertical="center"/>
    </xf>
    <xf numFmtId="0" fontId="0" fillId="13" borderId="52" xfId="0" applyFill="1" applyBorder="1" applyAlignment="1">
      <alignment horizontal="left"/>
    </xf>
    <xf numFmtId="0" fontId="0" fillId="13" borderId="53" xfId="0" applyFill="1" applyBorder="1" applyAlignment="1">
      <alignment horizontal="left"/>
    </xf>
    <xf numFmtId="0" fontId="34" fillId="6" borderId="60" xfId="0" applyFont="1" applyFill="1" applyBorder="1" applyAlignment="1">
      <alignment horizontal="center" vertical="center"/>
    </xf>
    <xf numFmtId="0" fontId="34" fillId="6" borderId="70" xfId="0" applyFont="1" applyFill="1" applyBorder="1" applyAlignment="1">
      <alignment horizontal="center" vertical="center"/>
    </xf>
    <xf numFmtId="0" fontId="0" fillId="13" borderId="56" xfId="0" applyFill="1" applyBorder="1" applyAlignment="1">
      <alignment horizontal="left"/>
    </xf>
    <xf numFmtId="0" fontId="0" fillId="13" borderId="57" xfId="0" applyFill="1" applyBorder="1" applyAlignment="1">
      <alignment horizontal="left"/>
    </xf>
    <xf numFmtId="0" fontId="0" fillId="13" borderId="40" xfId="0" applyFill="1" applyBorder="1" applyAlignment="1">
      <alignment horizontal="left"/>
    </xf>
    <xf numFmtId="0" fontId="0" fillId="13" borderId="41" xfId="0" applyFill="1" applyBorder="1" applyAlignment="1">
      <alignment horizontal="left"/>
    </xf>
    <xf numFmtId="0" fontId="0" fillId="13" borderId="46" xfId="0" applyFill="1" applyBorder="1" applyAlignment="1">
      <alignment horizontal="left"/>
    </xf>
    <xf numFmtId="0" fontId="0" fillId="13" borderId="54" xfId="0" applyFill="1" applyBorder="1" applyAlignment="1">
      <alignment horizontal="left"/>
    </xf>
    <xf numFmtId="0" fontId="0" fillId="13" borderId="55" xfId="0" applyFill="1" applyBorder="1" applyAlignment="1">
      <alignment horizontal="left"/>
    </xf>
    <xf numFmtId="0" fontId="29" fillId="13" borderId="61" xfId="0" applyFont="1" applyFill="1" applyBorder="1" applyAlignment="1">
      <alignment horizontal="center"/>
    </xf>
    <xf numFmtId="0" fontId="29" fillId="13" borderId="62" xfId="0" applyFont="1" applyFill="1" applyBorder="1" applyAlignment="1">
      <alignment horizontal="center"/>
    </xf>
    <xf numFmtId="0" fontId="0" fillId="13" borderId="71" xfId="0" applyFill="1" applyBorder="1" applyAlignment="1">
      <alignment horizontal="left"/>
    </xf>
    <xf numFmtId="0" fontId="0" fillId="13" borderId="72" xfId="0" applyFill="1" applyBorder="1" applyAlignment="1">
      <alignment horizontal="left"/>
    </xf>
    <xf numFmtId="0" fontId="0" fillId="13" borderId="90" xfId="0" applyFill="1" applyBorder="1" applyAlignment="1">
      <alignment horizontal="left" vertical="top" wrapText="1"/>
    </xf>
    <xf numFmtId="0" fontId="0" fillId="13" borderId="0" xfId="0" applyFill="1" applyAlignment="1">
      <alignment horizontal="left" vertical="top"/>
    </xf>
    <xf numFmtId="0" fontId="0" fillId="13" borderId="91" xfId="0" applyFill="1" applyBorder="1" applyAlignment="1">
      <alignment horizontal="left" vertical="top"/>
    </xf>
    <xf numFmtId="0" fontId="0" fillId="13" borderId="90" xfId="0" applyFill="1" applyBorder="1" applyAlignment="1">
      <alignment horizontal="left" vertical="top"/>
    </xf>
    <xf numFmtId="0" fontId="0" fillId="13" borderId="17" xfId="0" applyFill="1" applyBorder="1" applyAlignment="1">
      <alignment horizontal="left"/>
    </xf>
    <xf numFmtId="0" fontId="0" fillId="13" borderId="18" xfId="0" applyFill="1" applyBorder="1" applyAlignment="1">
      <alignment horizontal="left"/>
    </xf>
    <xf numFmtId="0" fontId="0" fillId="13" borderId="35" xfId="0" applyFill="1" applyBorder="1" applyAlignment="1">
      <alignment horizontal="left"/>
    </xf>
    <xf numFmtId="0" fontId="0" fillId="13" borderId="43" xfId="0" applyFill="1" applyBorder="1" applyAlignment="1">
      <alignment horizontal="left"/>
    </xf>
    <xf numFmtId="0" fontId="0" fillId="13" borderId="44" xfId="0" applyFill="1" applyBorder="1" applyAlignment="1">
      <alignment horizontal="left"/>
    </xf>
    <xf numFmtId="0" fontId="0" fillId="13" borderId="83" xfId="0" applyFill="1" applyBorder="1" applyAlignment="1">
      <alignment horizontal="left"/>
    </xf>
    <xf numFmtId="14" fontId="33" fillId="13" borderId="116" xfId="0" applyNumberFormat="1" applyFont="1" applyFill="1" applyBorder="1" applyAlignment="1">
      <alignment horizontal="left"/>
    </xf>
    <xf numFmtId="14" fontId="33" fillId="13" borderId="56" xfId="0" applyNumberFormat="1" applyFont="1" applyFill="1" applyBorder="1" applyAlignment="1">
      <alignment horizontal="left"/>
    </xf>
    <xf numFmtId="14" fontId="33" fillId="13" borderId="57" xfId="0" applyNumberFormat="1" applyFont="1" applyFill="1" applyBorder="1" applyAlignment="1">
      <alignment horizontal="left"/>
    </xf>
    <xf numFmtId="0" fontId="0" fillId="13" borderId="24" xfId="0" applyFill="1" applyBorder="1" applyAlignment="1">
      <alignment horizontal="left"/>
    </xf>
    <xf numFmtId="0" fontId="0" fillId="13" borderId="25" xfId="0" applyFill="1" applyBorder="1" applyAlignment="1">
      <alignment horizontal="left"/>
    </xf>
    <xf numFmtId="0" fontId="0" fillId="13" borderId="82" xfId="0" applyFill="1" applyBorder="1" applyAlignment="1">
      <alignment horizontal="left"/>
    </xf>
    <xf numFmtId="0" fontId="0" fillId="13" borderId="21" xfId="0" applyFill="1" applyBorder="1" applyAlignment="1">
      <alignment horizontal="left"/>
    </xf>
    <xf numFmtId="0" fontId="0" fillId="13" borderId="22" xfId="0" applyFill="1" applyBorder="1" applyAlignment="1">
      <alignment horizontal="left"/>
    </xf>
    <xf numFmtId="0" fontId="0" fillId="13" borderId="27" xfId="0" applyFill="1" applyBorder="1" applyAlignment="1">
      <alignment horizontal="left"/>
    </xf>
    <xf numFmtId="0" fontId="0" fillId="13" borderId="84" xfId="0" applyFill="1" applyBorder="1" applyAlignment="1">
      <alignment horizontal="left"/>
    </xf>
    <xf numFmtId="0" fontId="0" fillId="13" borderId="85" xfId="0" applyFill="1" applyBorder="1" applyAlignment="1">
      <alignment horizontal="left"/>
    </xf>
    <xf numFmtId="0" fontId="0" fillId="13" borderId="86" xfId="0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2" fontId="0" fillId="13" borderId="13" xfId="0" applyNumberFormat="1" applyFill="1" applyBorder="1" applyAlignment="1">
      <alignment horizontal="center" vertical="center" wrapText="1"/>
    </xf>
    <xf numFmtId="2" fontId="0" fillId="13" borderId="3" xfId="0" applyNumberForma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/>
    </xf>
    <xf numFmtId="0" fontId="3" fillId="14" borderId="7" xfId="0" applyFont="1" applyFill="1" applyBorder="1" applyAlignment="1">
      <alignment horizontal="center" vertical="center"/>
    </xf>
    <xf numFmtId="0" fontId="3" fillId="14" borderId="13" xfId="0" applyFont="1" applyFill="1" applyBorder="1" applyAlignment="1">
      <alignment horizontal="center" vertical="center" wrapText="1"/>
    </xf>
    <xf numFmtId="0" fontId="3" fillId="14" borderId="14" xfId="0" applyFont="1" applyFill="1" applyBorder="1" applyAlignment="1">
      <alignment horizontal="center" vertical="center"/>
    </xf>
    <xf numFmtId="0" fontId="3" fillId="14" borderId="15" xfId="0" applyFont="1" applyFill="1" applyBorder="1" applyAlignment="1">
      <alignment horizontal="center" vertical="center"/>
    </xf>
    <xf numFmtId="0" fontId="3" fillId="14" borderId="14" xfId="0" applyFont="1" applyFill="1" applyBorder="1" applyAlignment="1">
      <alignment horizontal="center" vertical="center" wrapText="1"/>
    </xf>
    <xf numFmtId="0" fontId="3" fillId="14" borderId="15" xfId="0" applyFont="1" applyFill="1" applyBorder="1" applyAlignment="1">
      <alignment horizontal="center" vertical="center" wrapText="1"/>
    </xf>
    <xf numFmtId="14" fontId="3" fillId="14" borderId="3" xfId="0" applyNumberFormat="1" applyFont="1" applyFill="1" applyBorder="1" applyAlignment="1">
      <alignment horizontal="center" vertical="center" wrapText="1"/>
    </xf>
    <xf numFmtId="14" fontId="3" fillId="14" borderId="4" xfId="0" applyNumberFormat="1" applyFont="1" applyFill="1" applyBorder="1" applyAlignment="1">
      <alignment horizontal="center" vertical="center" wrapText="1"/>
    </xf>
    <xf numFmtId="14" fontId="3" fillId="14" borderId="5" xfId="0" applyNumberFormat="1" applyFont="1" applyFill="1" applyBorder="1" applyAlignment="1">
      <alignment horizontal="center" vertical="center" wrapText="1"/>
    </xf>
    <xf numFmtId="2" fontId="0" fillId="13" borderId="14" xfId="0" applyNumberFormat="1" applyFill="1" applyBorder="1" applyAlignment="1">
      <alignment horizontal="center" vertical="center" wrapText="1"/>
    </xf>
    <xf numFmtId="2" fontId="0" fillId="13" borderId="4" xfId="0" applyNumberFormat="1" applyFill="1" applyBorder="1" applyAlignment="1">
      <alignment horizontal="center" vertical="center" wrapText="1"/>
    </xf>
    <xf numFmtId="0" fontId="0" fillId="13" borderId="15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14" fontId="0" fillId="6" borderId="0" xfId="0" applyNumberForma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4" fontId="13" fillId="6" borderId="4" xfId="0" applyNumberFormat="1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14" fontId="9" fillId="2" borderId="13" xfId="0" applyNumberFormat="1" applyFont="1" applyFill="1" applyBorder="1" applyAlignment="1">
      <alignment horizontal="center" vertical="center"/>
    </xf>
    <xf numFmtId="14" fontId="9" fillId="2" borderId="15" xfId="0" applyNumberFormat="1" applyFont="1" applyFill="1" applyBorder="1" applyAlignment="1">
      <alignment horizontal="center" vertical="center"/>
    </xf>
    <xf numFmtId="0" fontId="0" fillId="13" borderId="14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3" fontId="15" fillId="2" borderId="9" xfId="0" applyNumberFormat="1" applyFont="1" applyFill="1" applyBorder="1" applyAlignment="1">
      <alignment horizontal="right" vertical="center"/>
    </xf>
    <xf numFmtId="3" fontId="15" fillId="2" borderId="10" xfId="0" applyNumberFormat="1" applyFont="1" applyFill="1" applyBorder="1" applyAlignment="1">
      <alignment horizontal="right" vertical="center"/>
    </xf>
    <xf numFmtId="3" fontId="15" fillId="2" borderId="11" xfId="0" applyNumberFormat="1" applyFont="1" applyFill="1" applyBorder="1" applyAlignment="1">
      <alignment horizontal="right" vertical="center"/>
    </xf>
    <xf numFmtId="0" fontId="0" fillId="13" borderId="4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3" fontId="2" fillId="2" borderId="9" xfId="0" applyNumberFormat="1" applyFont="1" applyFill="1" applyBorder="1" applyAlignment="1">
      <alignment horizontal="right" vertical="center"/>
    </xf>
    <xf numFmtId="3" fontId="2" fillId="2" borderId="10" xfId="0" applyNumberFormat="1" applyFont="1" applyFill="1" applyBorder="1" applyAlignment="1">
      <alignment horizontal="right" vertical="center"/>
    </xf>
    <xf numFmtId="3" fontId="19" fillId="2" borderId="9" xfId="0" applyNumberFormat="1" applyFont="1" applyFill="1" applyBorder="1" applyAlignment="1">
      <alignment horizontal="right" vertical="center"/>
    </xf>
    <xf numFmtId="3" fontId="19" fillId="2" borderId="10" xfId="0" applyNumberFormat="1" applyFont="1" applyFill="1" applyBorder="1" applyAlignment="1">
      <alignment horizontal="right" vertical="center"/>
    </xf>
    <xf numFmtId="3" fontId="19" fillId="2" borderId="11" xfId="0" applyNumberFormat="1" applyFont="1" applyFill="1" applyBorder="1" applyAlignment="1">
      <alignment horizontal="right" vertical="center"/>
    </xf>
    <xf numFmtId="3" fontId="17" fillId="2" borderId="9" xfId="0" applyNumberFormat="1" applyFont="1" applyFill="1" applyBorder="1" applyAlignment="1">
      <alignment horizontal="right" vertical="center"/>
    </xf>
    <xf numFmtId="3" fontId="17" fillId="2" borderId="10" xfId="0" applyNumberFormat="1" applyFont="1" applyFill="1" applyBorder="1" applyAlignment="1">
      <alignment horizontal="right" vertical="center"/>
    </xf>
    <xf numFmtId="3" fontId="21" fillId="2" borderId="9" xfId="0" applyNumberFormat="1" applyFont="1" applyFill="1" applyBorder="1" applyAlignment="1">
      <alignment horizontal="right" vertical="center"/>
    </xf>
    <xf numFmtId="3" fontId="21" fillId="2" borderId="10" xfId="0" applyNumberFormat="1" applyFont="1" applyFill="1" applyBorder="1" applyAlignment="1">
      <alignment horizontal="right" vertical="center"/>
    </xf>
    <xf numFmtId="3" fontId="17" fillId="2" borderId="11" xfId="0" applyNumberFormat="1" applyFont="1" applyFill="1" applyBorder="1" applyAlignment="1">
      <alignment horizontal="right" vertical="center"/>
    </xf>
    <xf numFmtId="3" fontId="21" fillId="2" borderId="11" xfId="0" applyNumberFormat="1" applyFont="1" applyFill="1" applyBorder="1" applyAlignment="1">
      <alignment horizontal="right" vertical="center"/>
    </xf>
    <xf numFmtId="14" fontId="3" fillId="18" borderId="3" xfId="0" applyNumberFormat="1" applyFont="1" applyFill="1" applyBorder="1" applyAlignment="1">
      <alignment horizontal="center" vertical="center" wrapText="1"/>
    </xf>
    <xf numFmtId="14" fontId="3" fillId="18" borderId="4" xfId="0" applyNumberFormat="1" applyFont="1" applyFill="1" applyBorder="1" applyAlignment="1">
      <alignment horizontal="center" vertical="center" wrapText="1"/>
    </xf>
    <xf numFmtId="14" fontId="3" fillId="18" borderId="5" xfId="0" applyNumberFormat="1" applyFont="1" applyFill="1" applyBorder="1" applyAlignment="1">
      <alignment horizontal="center" vertical="center" wrapText="1"/>
    </xf>
    <xf numFmtId="0" fontId="3" fillId="18" borderId="13" xfId="0" applyFont="1" applyFill="1" applyBorder="1" applyAlignment="1">
      <alignment horizontal="center" vertical="center"/>
    </xf>
    <xf numFmtId="0" fontId="3" fillId="18" borderId="14" xfId="0" applyFont="1" applyFill="1" applyBorder="1" applyAlignment="1">
      <alignment horizontal="center" vertical="center"/>
    </xf>
    <xf numFmtId="0" fontId="3" fillId="18" borderId="15" xfId="0" applyFont="1" applyFill="1" applyBorder="1" applyAlignment="1">
      <alignment horizontal="center" vertical="center"/>
    </xf>
    <xf numFmtId="14" fontId="13" fillId="3" borderId="4" xfId="0" applyNumberFormat="1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left" vertical="center"/>
    </xf>
    <xf numFmtId="0" fontId="3" fillId="12" borderId="13" xfId="0" applyFont="1" applyFill="1" applyBorder="1" applyAlignment="1">
      <alignment horizontal="center" vertical="center"/>
    </xf>
    <xf numFmtId="0" fontId="3" fillId="12" borderId="14" xfId="0" applyFont="1" applyFill="1" applyBorder="1" applyAlignment="1">
      <alignment horizontal="center" vertical="center"/>
    </xf>
    <xf numFmtId="0" fontId="3" fillId="12" borderId="15" xfId="0" applyFont="1" applyFill="1" applyBorder="1" applyAlignment="1">
      <alignment horizontal="center" vertical="center"/>
    </xf>
    <xf numFmtId="14" fontId="3" fillId="12" borderId="3" xfId="0" applyNumberFormat="1" applyFont="1" applyFill="1" applyBorder="1" applyAlignment="1">
      <alignment horizontal="center" vertical="center" wrapText="1"/>
    </xf>
    <xf numFmtId="14" fontId="3" fillId="12" borderId="4" xfId="0" applyNumberFormat="1" applyFont="1" applyFill="1" applyBorder="1" applyAlignment="1">
      <alignment horizontal="center" vertical="center" wrapText="1"/>
    </xf>
    <xf numFmtId="14" fontId="3" fillId="12" borderId="5" xfId="0" applyNumberFormat="1" applyFont="1" applyFill="1" applyBorder="1" applyAlignment="1">
      <alignment horizontal="center" vertical="center" wrapText="1"/>
    </xf>
    <xf numFmtId="0" fontId="0" fillId="11" borderId="0" xfId="0" applyFill="1" applyAlignment="1">
      <alignment horizontal="left" vertical="center"/>
    </xf>
    <xf numFmtId="14" fontId="13" fillId="11" borderId="4" xfId="0" applyNumberFormat="1" applyFont="1" applyFill="1" applyBorder="1" applyAlignment="1">
      <alignment horizontal="left" vertical="center"/>
    </xf>
    <xf numFmtId="0" fontId="0" fillId="11" borderId="0" xfId="0" applyFill="1" applyAlignment="1">
      <alignment horizontal="center" vertical="center"/>
    </xf>
    <xf numFmtId="14" fontId="0" fillId="11" borderId="0" xfId="0" applyNumberFormat="1" applyFill="1" applyAlignment="1">
      <alignment horizontal="left" vertical="center"/>
    </xf>
    <xf numFmtId="0" fontId="3" fillId="10" borderId="13" xfId="0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/>
    </xf>
    <xf numFmtId="14" fontId="3" fillId="10" borderId="3" xfId="0" applyNumberFormat="1" applyFont="1" applyFill="1" applyBorder="1" applyAlignment="1">
      <alignment horizontal="center" vertical="center" wrapText="1"/>
    </xf>
    <xf numFmtId="14" fontId="3" fillId="10" borderId="4" xfId="0" applyNumberFormat="1" applyFont="1" applyFill="1" applyBorder="1" applyAlignment="1">
      <alignment horizontal="center" vertical="center" wrapText="1"/>
    </xf>
    <xf numFmtId="14" fontId="3" fillId="10" borderId="5" xfId="0" applyNumberFormat="1" applyFont="1" applyFill="1" applyBorder="1" applyAlignment="1">
      <alignment horizontal="center" vertical="center" wrapText="1"/>
    </xf>
    <xf numFmtId="0" fontId="0" fillId="7" borderId="0" xfId="0" applyFill="1" applyAlignment="1">
      <alignment horizontal="left" vertical="center"/>
    </xf>
    <xf numFmtId="14" fontId="13" fillId="7" borderId="4" xfId="0" applyNumberFormat="1" applyFont="1" applyFill="1" applyBorder="1" applyAlignment="1">
      <alignment horizontal="left" vertical="center"/>
    </xf>
    <xf numFmtId="0" fontId="0" fillId="7" borderId="0" xfId="0" applyFill="1" applyAlignment="1">
      <alignment horizontal="center" vertical="center"/>
    </xf>
    <xf numFmtId="14" fontId="0" fillId="7" borderId="0" xfId="0" applyNumberFormat="1" applyFill="1" applyAlignment="1">
      <alignment horizontal="left" vertical="center"/>
    </xf>
  </cellXfs>
  <cellStyles count="21">
    <cellStyle name="Comma" xfId="19" builtinId="3"/>
    <cellStyle name="Currency" xfId="18" builtinId="4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3" builtinId="8" hidden="1"/>
    <cellStyle name="Hyperlink" xfId="7" builtinId="8" hidden="1"/>
    <cellStyle name="Hyperlink" xfId="9" builtinId="8" hidden="1"/>
    <cellStyle name="Hyperlink" xfId="11" builtinId="8" hidden="1"/>
    <cellStyle name="Hyperlink" xfId="3" builtinId="8" hidden="1"/>
    <cellStyle name="Hyperlink" xfId="5" builtinId="8" hidden="1"/>
    <cellStyle name="Hyperlink" xfId="1" builtinId="8" hidden="1"/>
    <cellStyle name="Hyperlink" xfId="20" builtinId="8"/>
    <cellStyle name="Normal" xfId="0" builtinId="0"/>
    <cellStyle name="Normal 2" xfId="15" xr:uid="{00000000-0005-0000-0000-000012000000}"/>
    <cellStyle name="Percent" xfId="17" builtinId="5"/>
    <cellStyle name="Percent 2" xfId="16" xr:uid="{00000000-0005-0000-0000-000014000000}"/>
  </cellStyles>
  <dxfs count="16">
    <dxf>
      <font>
        <color theme="3" tint="0.79998168889431442"/>
      </font>
    </dxf>
    <dxf>
      <font>
        <color theme="6" tint="0.79998168889431442"/>
      </font>
    </dxf>
    <dxf>
      <font>
        <color theme="6" tint="0.79998168889431442"/>
      </font>
    </dxf>
    <dxf>
      <font>
        <color theme="3" tint="0.79998168889431442"/>
      </font>
    </dxf>
    <dxf>
      <font>
        <color theme="6" tint="0.79998168889431442"/>
      </font>
    </dxf>
    <dxf>
      <font>
        <color theme="5" tint="0.79998168889431442"/>
      </font>
    </dxf>
    <dxf>
      <font>
        <color theme="5" tint="0.79998168889431442"/>
      </font>
    </dxf>
    <dxf>
      <font>
        <color theme="3" tint="0.79998168889431442"/>
      </font>
    </dxf>
    <dxf>
      <font>
        <color theme="3" tint="0.79998168889431442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FFFF66"/>
      <color rgb="FFFFFF99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Subcontract 3'!A1"/><Relationship Id="rId2" Type="http://schemas.openxmlformats.org/officeDocument/2006/relationships/hyperlink" Target="#'Subcontract 2'!A1"/><Relationship Id="rId1" Type="http://schemas.openxmlformats.org/officeDocument/2006/relationships/hyperlink" Target="#'Subcontract 1'!H5"/><Relationship Id="rId4" Type="http://schemas.openxmlformats.org/officeDocument/2006/relationships/hyperlink" Target="#'Primary Site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Subcontract 2'!A1"/><Relationship Id="rId2" Type="http://schemas.openxmlformats.org/officeDocument/2006/relationships/hyperlink" Target="#'Subcontract 1'!A1"/><Relationship Id="rId1" Type="http://schemas.openxmlformats.org/officeDocument/2006/relationships/hyperlink" Target="#SUMMARY!A1"/><Relationship Id="rId5" Type="http://schemas.openxmlformats.org/officeDocument/2006/relationships/hyperlink" Target="#'Primary Site'!A1"/><Relationship Id="rId4" Type="http://schemas.openxmlformats.org/officeDocument/2006/relationships/hyperlink" Target="#'Subcontract 3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Subcontract 2'!A1"/><Relationship Id="rId2" Type="http://schemas.openxmlformats.org/officeDocument/2006/relationships/hyperlink" Target="#'Subcontract 1'!A1"/><Relationship Id="rId1" Type="http://schemas.openxmlformats.org/officeDocument/2006/relationships/hyperlink" Target="#SUMMARY!A1"/><Relationship Id="rId5" Type="http://schemas.openxmlformats.org/officeDocument/2006/relationships/hyperlink" Target="#'Primary Site'!A1"/><Relationship Id="rId4" Type="http://schemas.openxmlformats.org/officeDocument/2006/relationships/hyperlink" Target="#'Subcontract 3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Subcontract 2'!A1"/><Relationship Id="rId2" Type="http://schemas.openxmlformats.org/officeDocument/2006/relationships/hyperlink" Target="#'Subcontract 1'!A1"/><Relationship Id="rId1" Type="http://schemas.openxmlformats.org/officeDocument/2006/relationships/hyperlink" Target="#SUMMARY!A1"/><Relationship Id="rId5" Type="http://schemas.openxmlformats.org/officeDocument/2006/relationships/hyperlink" Target="#'Primary Site'!A1"/><Relationship Id="rId4" Type="http://schemas.openxmlformats.org/officeDocument/2006/relationships/hyperlink" Target="#'Subcontract 3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Subcontract 2'!A1"/><Relationship Id="rId2" Type="http://schemas.openxmlformats.org/officeDocument/2006/relationships/hyperlink" Target="#'Subcontract 1'!A1"/><Relationship Id="rId1" Type="http://schemas.openxmlformats.org/officeDocument/2006/relationships/hyperlink" Target="#SUMMARY!A1"/><Relationship Id="rId5" Type="http://schemas.openxmlformats.org/officeDocument/2006/relationships/hyperlink" Target="#'Primary Site'!A1"/><Relationship Id="rId4" Type="http://schemas.openxmlformats.org/officeDocument/2006/relationships/hyperlink" Target="#'Subcontract 3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393700</xdr:colOff>
      <xdr:row>18</xdr:row>
      <xdr:rowOff>25400</xdr:rowOff>
    </xdr:from>
    <xdr:to>
      <xdr:col>16</xdr:col>
      <xdr:colOff>1095248</xdr:colOff>
      <xdr:row>21</xdr:row>
      <xdr:rowOff>2540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649200" y="1651000"/>
          <a:ext cx="1755648" cy="548640"/>
        </a:xfrm>
        <a:prstGeom prst="round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SUBCONTRACT</a:t>
          </a:r>
          <a:r>
            <a:rPr lang="en-US" sz="1100" b="1" baseline="0"/>
            <a:t> 1</a:t>
          </a:r>
          <a:endParaRPr lang="en-US" sz="1100" b="1"/>
        </a:p>
      </xdr:txBody>
    </xdr:sp>
    <xdr:clientData/>
  </xdr:twoCellAnchor>
  <xdr:twoCellAnchor>
    <xdr:from>
      <xdr:col>15</xdr:col>
      <xdr:colOff>393700</xdr:colOff>
      <xdr:row>28</xdr:row>
      <xdr:rowOff>25400</xdr:rowOff>
    </xdr:from>
    <xdr:to>
      <xdr:col>16</xdr:col>
      <xdr:colOff>1092200</xdr:colOff>
      <xdr:row>31</xdr:row>
      <xdr:rowOff>2540</xdr:rowOff>
    </xdr:to>
    <xdr:sp macro="" textlink="">
      <xdr:nvSpPr>
        <xdr:cNvPr id="7" name="Rounded Rectangl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2649200" y="3581400"/>
          <a:ext cx="1752600" cy="548640"/>
        </a:xfrm>
        <a:prstGeom prst="roundRect">
          <a:avLst/>
        </a:prstGeom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SUBCONTRACT</a:t>
          </a:r>
          <a:r>
            <a:rPr lang="en-US" sz="1100" b="1" baseline="0"/>
            <a:t> 2</a:t>
          </a:r>
          <a:endParaRPr lang="en-US" sz="1100" b="1"/>
        </a:p>
      </xdr:txBody>
    </xdr:sp>
    <xdr:clientData/>
  </xdr:twoCellAnchor>
  <xdr:twoCellAnchor>
    <xdr:from>
      <xdr:col>15</xdr:col>
      <xdr:colOff>406400</xdr:colOff>
      <xdr:row>38</xdr:row>
      <xdr:rowOff>25400</xdr:rowOff>
    </xdr:from>
    <xdr:to>
      <xdr:col>16</xdr:col>
      <xdr:colOff>1104900</xdr:colOff>
      <xdr:row>41</xdr:row>
      <xdr:rowOff>2540</xdr:rowOff>
    </xdr:to>
    <xdr:sp macro="" textlink="">
      <xdr:nvSpPr>
        <xdr:cNvPr id="8" name="Rounded 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661900" y="5511800"/>
          <a:ext cx="1752600" cy="548640"/>
        </a:xfrm>
        <a:prstGeom prst="roundRect">
          <a:avLst/>
        </a:prstGeom>
        <a:solidFill>
          <a:schemeClr val="accent2">
            <a:lumMod val="75000"/>
          </a:schemeClr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SUBCONTRACT</a:t>
          </a:r>
          <a:r>
            <a:rPr lang="en-US" sz="1100" b="1" baseline="0"/>
            <a:t> 3</a:t>
          </a:r>
        </a:p>
      </xdr:txBody>
    </xdr:sp>
    <xdr:clientData/>
  </xdr:twoCellAnchor>
  <xdr:twoCellAnchor>
    <xdr:from>
      <xdr:col>7</xdr:col>
      <xdr:colOff>863600</xdr:colOff>
      <xdr:row>9</xdr:row>
      <xdr:rowOff>25400</xdr:rowOff>
    </xdr:from>
    <xdr:to>
      <xdr:col>9</xdr:col>
      <xdr:colOff>863600</xdr:colOff>
      <xdr:row>11</xdr:row>
      <xdr:rowOff>177800</xdr:rowOff>
    </xdr:to>
    <xdr:sp macro="" textlink="">
      <xdr:nvSpPr>
        <xdr:cNvPr id="9" name="Rounded 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146800" y="1651000"/>
          <a:ext cx="1752600" cy="53340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PRIMARY</a:t>
          </a:r>
          <a:r>
            <a:rPr lang="en-US" sz="1100" b="1" baseline="0"/>
            <a:t> SITE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70558</xdr:colOff>
      <xdr:row>0</xdr:row>
      <xdr:rowOff>56447</xdr:rowOff>
    </xdr:from>
    <xdr:to>
      <xdr:col>16</xdr:col>
      <xdr:colOff>52917</xdr:colOff>
      <xdr:row>3</xdr:row>
      <xdr:rowOff>14114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970891" y="56447"/>
          <a:ext cx="4480276" cy="529167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/>
            <a:t>PRIMARY</a:t>
          </a:r>
          <a:r>
            <a:rPr lang="en-US" sz="2000" b="1" baseline="0"/>
            <a:t> SITE</a:t>
          </a:r>
        </a:p>
        <a:p>
          <a:pPr algn="l"/>
          <a:endParaRPr lang="en-US" sz="1100"/>
        </a:p>
      </xdr:txBody>
    </xdr:sp>
    <xdr:clientData/>
  </xdr:twoCellAnchor>
  <xdr:twoCellAnchor>
    <xdr:from>
      <xdr:col>14</xdr:col>
      <xdr:colOff>201084</xdr:colOff>
      <xdr:row>3</xdr:row>
      <xdr:rowOff>116414</xdr:rowOff>
    </xdr:from>
    <xdr:to>
      <xdr:col>16</xdr:col>
      <xdr:colOff>91724</xdr:colOff>
      <xdr:row>11</xdr:row>
      <xdr:rowOff>169333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9459721" y="669370"/>
          <a:ext cx="1326976" cy="1522972"/>
          <a:chOff x="10230349" y="687914"/>
          <a:chExt cx="1280169" cy="1599331"/>
        </a:xfrm>
      </xdr:grpSpPr>
      <xdr:sp macro="" textlink="">
        <xdr:nvSpPr>
          <xdr:cNvPr id="3" name="Pentagon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10230349" y="687914"/>
            <a:ext cx="1280169" cy="744362"/>
          </a:xfrm>
          <a:prstGeom prst="homePlate">
            <a:avLst/>
          </a:prstGeom>
        </xdr:spPr>
        <xdr:style>
          <a:lnRef idx="0">
            <a:schemeClr val="accent2"/>
          </a:lnRef>
          <a:fillRef idx="3">
            <a:schemeClr val="accent2"/>
          </a:fillRef>
          <a:effectRef idx="3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/>
              <a:t>SUMMARY</a:t>
            </a:r>
          </a:p>
        </xdr:txBody>
      </xdr:sp>
      <xdr:sp macro="" textlink="">
        <xdr:nvSpPr>
          <xdr:cNvPr id="4" name="Rounded Rectangle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10283266" y="1612459"/>
            <a:ext cx="395444" cy="283213"/>
          </a:xfrm>
          <a:prstGeom prst="roundRect">
            <a:avLst/>
          </a:prstGeom>
          <a:solidFill>
            <a:schemeClr val="accent1">
              <a:lumMod val="75000"/>
            </a:schemeClr>
          </a:solidFill>
        </xdr:spPr>
        <xdr:style>
          <a:lnRef idx="0">
            <a:schemeClr val="accent1"/>
          </a:lnRef>
          <a:fillRef idx="3">
            <a:schemeClr val="accent1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/>
              <a:t>1</a:t>
            </a:r>
          </a:p>
        </xdr:txBody>
      </xdr:sp>
      <xdr:sp macro="" textlink="">
        <xdr:nvSpPr>
          <xdr:cNvPr id="5" name="Rounded Rectangle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10774746" y="1609997"/>
            <a:ext cx="395444" cy="283213"/>
          </a:xfrm>
          <a:prstGeom prst="roundRect">
            <a:avLst/>
          </a:prstGeom>
          <a:solidFill>
            <a:schemeClr val="accent3">
              <a:lumMod val="75000"/>
            </a:schemeClr>
          </a:solidFill>
        </xdr:spPr>
        <xdr:style>
          <a:lnRef idx="0">
            <a:schemeClr val="accent1"/>
          </a:lnRef>
          <a:fillRef idx="3">
            <a:schemeClr val="accent1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/>
              <a:t>2</a:t>
            </a:r>
          </a:p>
        </xdr:txBody>
      </xdr:sp>
      <xdr:sp macro="" textlink="">
        <xdr:nvSpPr>
          <xdr:cNvPr id="6" name="Rounded Rectangle 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10283266" y="1994181"/>
            <a:ext cx="395444" cy="283213"/>
          </a:xfrm>
          <a:prstGeom prst="roundRect">
            <a:avLst/>
          </a:prstGeom>
          <a:solidFill>
            <a:schemeClr val="accent2">
              <a:lumMod val="75000"/>
            </a:schemeClr>
          </a:solidFill>
        </xdr:spPr>
        <xdr:style>
          <a:lnRef idx="0">
            <a:schemeClr val="accent2"/>
          </a:lnRef>
          <a:fillRef idx="3">
            <a:schemeClr val="accent2"/>
          </a:fillRef>
          <a:effectRef idx="3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/>
              <a:t>3</a:t>
            </a:r>
          </a:p>
        </xdr:txBody>
      </xdr:sp>
      <xdr:sp macro="" textlink="">
        <xdr:nvSpPr>
          <xdr:cNvPr id="9" name="Rounded Rectangle 8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10774746" y="2004032"/>
            <a:ext cx="395444" cy="283213"/>
          </a:xfrm>
          <a:prstGeom prst="roundRect">
            <a:avLst/>
          </a:prstGeom>
          <a:solidFill>
            <a:schemeClr val="accent6">
              <a:lumMod val="75000"/>
            </a:schemeClr>
          </a:solidFill>
        </xdr:spPr>
        <xdr:style>
          <a:lnRef idx="0">
            <a:schemeClr val="accent2"/>
          </a:lnRef>
          <a:fillRef idx="3">
            <a:schemeClr val="accent2"/>
          </a:fillRef>
          <a:effectRef idx="3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/>
              <a:t>P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73461</xdr:colOff>
      <xdr:row>0</xdr:row>
      <xdr:rowOff>68169</xdr:rowOff>
    </xdr:from>
    <xdr:to>
      <xdr:col>11</xdr:col>
      <xdr:colOff>58400</xdr:colOff>
      <xdr:row>3</xdr:row>
      <xdr:rowOff>27021</xdr:rowOff>
    </xdr:to>
    <xdr:sp macro="" textlink="">
      <xdr:nvSpPr>
        <xdr:cNvPr id="4" name="Rounded Rectangl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5133617" y="68169"/>
          <a:ext cx="4509314" cy="530352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 baseline="0"/>
            <a:t>SUBCONTRACT 1</a:t>
          </a:r>
        </a:p>
        <a:p>
          <a:pPr algn="l"/>
          <a:endParaRPr lang="en-US" sz="1100"/>
        </a:p>
      </xdr:txBody>
    </xdr:sp>
    <xdr:clientData/>
  </xdr:twoCellAnchor>
  <xdr:twoCellAnchor>
    <xdr:from>
      <xdr:col>9</xdr:col>
      <xdr:colOff>196100</xdr:colOff>
      <xdr:row>4</xdr:row>
      <xdr:rowOff>125134</xdr:rowOff>
    </xdr:from>
    <xdr:to>
      <xdr:col>11</xdr:col>
      <xdr:colOff>82381</xdr:colOff>
      <xdr:row>12</xdr:row>
      <xdr:rowOff>168722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pSpPr/>
      </xdr:nvGrpSpPr>
      <xdr:grpSpPr>
        <a:xfrm>
          <a:off x="8608580" y="864274"/>
          <a:ext cx="1318841" cy="1559968"/>
          <a:chOff x="10230345" y="687912"/>
          <a:chExt cx="1280169" cy="1599333"/>
        </a:xfrm>
      </xdr:grpSpPr>
      <xdr:sp macro="" textlink="">
        <xdr:nvSpPr>
          <xdr:cNvPr id="10" name="Pentagon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/>
        </xdr:nvSpPr>
        <xdr:spPr>
          <a:xfrm>
            <a:off x="10230345" y="687912"/>
            <a:ext cx="1280169" cy="744359"/>
          </a:xfrm>
          <a:prstGeom prst="homePlate">
            <a:avLst/>
          </a:prstGeom>
        </xdr:spPr>
        <xdr:style>
          <a:lnRef idx="0">
            <a:schemeClr val="accent2"/>
          </a:lnRef>
          <a:fillRef idx="3">
            <a:schemeClr val="accent2"/>
          </a:fillRef>
          <a:effectRef idx="3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/>
              <a:t>SUMMARY</a:t>
            </a:r>
          </a:p>
        </xdr:txBody>
      </xdr:sp>
      <xdr:sp macro="" textlink="">
        <xdr:nvSpPr>
          <xdr:cNvPr id="11" name="Rounded Rectangle 10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0283262" y="1612454"/>
            <a:ext cx="395444" cy="283212"/>
          </a:xfrm>
          <a:prstGeom prst="roundRect">
            <a:avLst/>
          </a:prstGeom>
          <a:solidFill>
            <a:schemeClr val="accent1">
              <a:lumMod val="75000"/>
            </a:schemeClr>
          </a:solidFill>
        </xdr:spPr>
        <xdr:style>
          <a:lnRef idx="0">
            <a:schemeClr val="accent1"/>
          </a:lnRef>
          <a:fillRef idx="3">
            <a:schemeClr val="accent1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/>
              <a:t>1</a:t>
            </a:r>
          </a:p>
        </xdr:txBody>
      </xdr:sp>
      <xdr:sp macro="" textlink="">
        <xdr:nvSpPr>
          <xdr:cNvPr id="12" name="Rounded Rectangle 11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10774742" y="1609993"/>
            <a:ext cx="395444" cy="283213"/>
          </a:xfrm>
          <a:prstGeom prst="roundRect">
            <a:avLst/>
          </a:prstGeom>
          <a:solidFill>
            <a:schemeClr val="accent3">
              <a:lumMod val="75000"/>
            </a:schemeClr>
          </a:solidFill>
        </xdr:spPr>
        <xdr:style>
          <a:lnRef idx="0">
            <a:schemeClr val="accent1"/>
          </a:lnRef>
          <a:fillRef idx="3">
            <a:schemeClr val="accent1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/>
              <a:t>2</a:t>
            </a:r>
          </a:p>
        </xdr:txBody>
      </xdr:sp>
      <xdr:sp macro="" textlink="">
        <xdr:nvSpPr>
          <xdr:cNvPr id="13" name="Rounded Rectangle 12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10283261" y="1994180"/>
            <a:ext cx="395444" cy="283213"/>
          </a:xfrm>
          <a:prstGeom prst="roundRect">
            <a:avLst/>
          </a:prstGeom>
          <a:solidFill>
            <a:schemeClr val="accent2">
              <a:lumMod val="75000"/>
            </a:schemeClr>
          </a:solidFill>
        </xdr:spPr>
        <xdr:style>
          <a:lnRef idx="0">
            <a:schemeClr val="accent2"/>
          </a:lnRef>
          <a:fillRef idx="3">
            <a:schemeClr val="accent2"/>
          </a:fillRef>
          <a:effectRef idx="3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/>
              <a:t>3</a:t>
            </a:r>
          </a:p>
        </xdr:txBody>
      </xdr:sp>
      <xdr:sp macro="" textlink="">
        <xdr:nvSpPr>
          <xdr:cNvPr id="14" name="Rounded Rectangle 13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10774746" y="2004032"/>
            <a:ext cx="395444" cy="283213"/>
          </a:xfrm>
          <a:prstGeom prst="roundRect">
            <a:avLst/>
          </a:prstGeom>
          <a:solidFill>
            <a:schemeClr val="accent6">
              <a:lumMod val="75000"/>
            </a:schemeClr>
          </a:solidFill>
        </xdr:spPr>
        <xdr:style>
          <a:lnRef idx="0">
            <a:schemeClr val="accent2"/>
          </a:lnRef>
          <a:fillRef idx="3">
            <a:schemeClr val="accent2"/>
          </a:fillRef>
          <a:effectRef idx="3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/>
              <a:t>P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73461</xdr:colOff>
      <xdr:row>0</xdr:row>
      <xdr:rowOff>68169</xdr:rowOff>
    </xdr:from>
    <xdr:to>
      <xdr:col>11</xdr:col>
      <xdr:colOff>58400</xdr:colOff>
      <xdr:row>3</xdr:row>
      <xdr:rowOff>27021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133617" y="68169"/>
          <a:ext cx="4509314" cy="530352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 baseline="0"/>
            <a:t>SUBCONTRACT 3</a:t>
          </a:r>
        </a:p>
        <a:p>
          <a:pPr algn="l"/>
          <a:endParaRPr lang="en-US" sz="1100"/>
        </a:p>
      </xdr:txBody>
    </xdr:sp>
    <xdr:clientData/>
  </xdr:twoCellAnchor>
  <xdr:twoCellAnchor>
    <xdr:from>
      <xdr:col>9</xdr:col>
      <xdr:colOff>196100</xdr:colOff>
      <xdr:row>4</xdr:row>
      <xdr:rowOff>125134</xdr:rowOff>
    </xdr:from>
    <xdr:to>
      <xdr:col>11</xdr:col>
      <xdr:colOff>82381</xdr:colOff>
      <xdr:row>12</xdr:row>
      <xdr:rowOff>168722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/>
      </xdr:nvGrpSpPr>
      <xdr:grpSpPr>
        <a:xfrm>
          <a:off x="8608580" y="864274"/>
          <a:ext cx="1318841" cy="1559968"/>
          <a:chOff x="10230345" y="687912"/>
          <a:chExt cx="1280169" cy="1599333"/>
        </a:xfrm>
      </xdr:grpSpPr>
      <xdr:sp macro="" textlink="">
        <xdr:nvSpPr>
          <xdr:cNvPr id="4" name="Pentagon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10230345" y="687912"/>
            <a:ext cx="1280169" cy="744359"/>
          </a:xfrm>
          <a:prstGeom prst="homePlate">
            <a:avLst/>
          </a:prstGeom>
        </xdr:spPr>
        <xdr:style>
          <a:lnRef idx="0">
            <a:schemeClr val="accent2"/>
          </a:lnRef>
          <a:fillRef idx="3">
            <a:schemeClr val="accent2"/>
          </a:fillRef>
          <a:effectRef idx="3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/>
              <a:t>SUMMARY</a:t>
            </a:r>
          </a:p>
        </xdr:txBody>
      </xdr:sp>
      <xdr:sp macro="" textlink="">
        <xdr:nvSpPr>
          <xdr:cNvPr id="5" name="Rounded Rectangle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>
            <a:off x="10283262" y="1612454"/>
            <a:ext cx="395444" cy="283212"/>
          </a:xfrm>
          <a:prstGeom prst="roundRect">
            <a:avLst/>
          </a:prstGeom>
          <a:solidFill>
            <a:schemeClr val="accent1">
              <a:lumMod val="75000"/>
            </a:schemeClr>
          </a:solidFill>
        </xdr:spPr>
        <xdr:style>
          <a:lnRef idx="0">
            <a:schemeClr val="accent1"/>
          </a:lnRef>
          <a:fillRef idx="3">
            <a:schemeClr val="accent1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/>
              <a:t>1</a:t>
            </a:r>
          </a:p>
        </xdr:txBody>
      </xdr:sp>
      <xdr:sp macro="" textlink="">
        <xdr:nvSpPr>
          <xdr:cNvPr id="6" name="Rounded Rectangle 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/>
        </xdr:nvSpPr>
        <xdr:spPr>
          <a:xfrm>
            <a:off x="10774742" y="1609993"/>
            <a:ext cx="395444" cy="283213"/>
          </a:xfrm>
          <a:prstGeom prst="roundRect">
            <a:avLst/>
          </a:prstGeom>
          <a:solidFill>
            <a:schemeClr val="accent3">
              <a:lumMod val="75000"/>
            </a:schemeClr>
          </a:solidFill>
        </xdr:spPr>
        <xdr:style>
          <a:lnRef idx="0">
            <a:schemeClr val="accent1"/>
          </a:lnRef>
          <a:fillRef idx="3">
            <a:schemeClr val="accent1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/>
              <a:t>2</a:t>
            </a:r>
          </a:p>
        </xdr:txBody>
      </xdr:sp>
      <xdr:sp macro="" textlink="">
        <xdr:nvSpPr>
          <xdr:cNvPr id="7" name="Rounded Rectangle 6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/>
        </xdr:nvSpPr>
        <xdr:spPr>
          <a:xfrm>
            <a:off x="10283261" y="1994180"/>
            <a:ext cx="395444" cy="283213"/>
          </a:xfrm>
          <a:prstGeom prst="roundRect">
            <a:avLst/>
          </a:prstGeom>
          <a:solidFill>
            <a:schemeClr val="accent2">
              <a:lumMod val="75000"/>
            </a:schemeClr>
          </a:solidFill>
        </xdr:spPr>
        <xdr:style>
          <a:lnRef idx="0">
            <a:schemeClr val="accent2"/>
          </a:lnRef>
          <a:fillRef idx="3">
            <a:schemeClr val="accent2"/>
          </a:fillRef>
          <a:effectRef idx="3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/>
              <a:t>3</a:t>
            </a:r>
          </a:p>
        </xdr:txBody>
      </xdr:sp>
      <xdr:sp macro="" textlink="">
        <xdr:nvSpPr>
          <xdr:cNvPr id="8" name="Rounded Rectangle 7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/>
        </xdr:nvSpPr>
        <xdr:spPr>
          <a:xfrm>
            <a:off x="10774746" y="2004032"/>
            <a:ext cx="395444" cy="283213"/>
          </a:xfrm>
          <a:prstGeom prst="roundRect">
            <a:avLst/>
          </a:prstGeom>
          <a:solidFill>
            <a:schemeClr val="accent6">
              <a:lumMod val="75000"/>
            </a:schemeClr>
          </a:solidFill>
        </xdr:spPr>
        <xdr:style>
          <a:lnRef idx="0">
            <a:schemeClr val="accent2"/>
          </a:lnRef>
          <a:fillRef idx="3">
            <a:schemeClr val="accent2"/>
          </a:fillRef>
          <a:effectRef idx="3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/>
              <a:t>P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73461</xdr:colOff>
      <xdr:row>0</xdr:row>
      <xdr:rowOff>68169</xdr:rowOff>
    </xdr:from>
    <xdr:to>
      <xdr:col>11</xdr:col>
      <xdr:colOff>58400</xdr:colOff>
      <xdr:row>3</xdr:row>
      <xdr:rowOff>27021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133617" y="68169"/>
          <a:ext cx="4509314" cy="530352"/>
        </a:xfrm>
        <a:prstGeom prst="roundRect">
          <a:avLst/>
        </a:prstGeom>
        <a:solidFill>
          <a:schemeClr val="accent3">
            <a:lumMod val="60000"/>
            <a:lumOff val="40000"/>
          </a:schemeClr>
        </a:solidFill>
        <a:ln>
          <a:solidFill>
            <a:schemeClr val="accent3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 baseline="0"/>
            <a:t>SUBCONTRACT 2</a:t>
          </a:r>
        </a:p>
        <a:p>
          <a:pPr algn="l"/>
          <a:endParaRPr lang="en-US" sz="1100"/>
        </a:p>
      </xdr:txBody>
    </xdr:sp>
    <xdr:clientData/>
  </xdr:twoCellAnchor>
  <xdr:twoCellAnchor>
    <xdr:from>
      <xdr:col>9</xdr:col>
      <xdr:colOff>196100</xdr:colOff>
      <xdr:row>4</xdr:row>
      <xdr:rowOff>125134</xdr:rowOff>
    </xdr:from>
    <xdr:to>
      <xdr:col>11</xdr:col>
      <xdr:colOff>82381</xdr:colOff>
      <xdr:row>12</xdr:row>
      <xdr:rowOff>168722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8608580" y="864274"/>
          <a:ext cx="1318841" cy="1559968"/>
          <a:chOff x="10230345" y="687912"/>
          <a:chExt cx="1280169" cy="1599333"/>
        </a:xfrm>
      </xdr:grpSpPr>
      <xdr:sp macro="" textlink="">
        <xdr:nvSpPr>
          <xdr:cNvPr id="4" name="Pentagon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10230345" y="687912"/>
            <a:ext cx="1280169" cy="744359"/>
          </a:xfrm>
          <a:prstGeom prst="homePlate">
            <a:avLst/>
          </a:prstGeom>
        </xdr:spPr>
        <xdr:style>
          <a:lnRef idx="0">
            <a:schemeClr val="accent2"/>
          </a:lnRef>
          <a:fillRef idx="3">
            <a:schemeClr val="accent2"/>
          </a:fillRef>
          <a:effectRef idx="3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/>
              <a:t>SUMMARY</a:t>
            </a:r>
          </a:p>
        </xdr:txBody>
      </xdr:sp>
      <xdr:sp macro="" textlink="">
        <xdr:nvSpPr>
          <xdr:cNvPr id="5" name="Rounded Rectangle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10283262" y="1612454"/>
            <a:ext cx="395444" cy="283212"/>
          </a:xfrm>
          <a:prstGeom prst="roundRect">
            <a:avLst/>
          </a:prstGeom>
          <a:solidFill>
            <a:schemeClr val="accent1">
              <a:lumMod val="75000"/>
            </a:schemeClr>
          </a:solidFill>
        </xdr:spPr>
        <xdr:style>
          <a:lnRef idx="0">
            <a:schemeClr val="accent1"/>
          </a:lnRef>
          <a:fillRef idx="3">
            <a:schemeClr val="accent1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/>
              <a:t>1</a:t>
            </a:r>
          </a:p>
        </xdr:txBody>
      </xdr:sp>
      <xdr:sp macro="" textlink="">
        <xdr:nvSpPr>
          <xdr:cNvPr id="6" name="Rounded Rectangle 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10774742" y="1609993"/>
            <a:ext cx="395444" cy="283213"/>
          </a:xfrm>
          <a:prstGeom prst="roundRect">
            <a:avLst/>
          </a:prstGeom>
          <a:solidFill>
            <a:schemeClr val="accent3">
              <a:lumMod val="75000"/>
            </a:schemeClr>
          </a:solidFill>
        </xdr:spPr>
        <xdr:style>
          <a:lnRef idx="0">
            <a:schemeClr val="accent1"/>
          </a:lnRef>
          <a:fillRef idx="3">
            <a:schemeClr val="accent1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/>
              <a:t>2</a:t>
            </a:r>
          </a:p>
        </xdr:txBody>
      </xdr:sp>
      <xdr:sp macro="" textlink="">
        <xdr:nvSpPr>
          <xdr:cNvPr id="7" name="Rounded Rectangle 6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10283261" y="1994180"/>
            <a:ext cx="395444" cy="283213"/>
          </a:xfrm>
          <a:prstGeom prst="roundRect">
            <a:avLst/>
          </a:prstGeom>
          <a:solidFill>
            <a:schemeClr val="accent2">
              <a:lumMod val="75000"/>
            </a:schemeClr>
          </a:solidFill>
        </xdr:spPr>
        <xdr:style>
          <a:lnRef idx="0">
            <a:schemeClr val="accent2"/>
          </a:lnRef>
          <a:fillRef idx="3">
            <a:schemeClr val="accent2"/>
          </a:fillRef>
          <a:effectRef idx="3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/>
              <a:t>3</a:t>
            </a:r>
          </a:p>
        </xdr:txBody>
      </xdr:sp>
      <xdr:sp macro="" textlink="">
        <xdr:nvSpPr>
          <xdr:cNvPr id="8" name="Rounded Rectangle 7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/>
        </xdr:nvSpPr>
        <xdr:spPr>
          <a:xfrm>
            <a:off x="10774746" y="2004032"/>
            <a:ext cx="395444" cy="283213"/>
          </a:xfrm>
          <a:prstGeom prst="roundRect">
            <a:avLst/>
          </a:prstGeom>
          <a:solidFill>
            <a:schemeClr val="accent6">
              <a:lumMod val="75000"/>
            </a:schemeClr>
          </a:solidFill>
        </xdr:spPr>
        <xdr:style>
          <a:lnRef idx="0">
            <a:schemeClr val="accent2"/>
          </a:lnRef>
          <a:fillRef idx="3">
            <a:schemeClr val="accent2"/>
          </a:fillRef>
          <a:effectRef idx="3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/>
              <a:t>P</a:t>
            </a: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2@$600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A300"/>
  <sheetViews>
    <sheetView tabSelected="1" zoomScaleNormal="100" workbookViewId="0">
      <selection activeCell="E46" sqref="E46"/>
    </sheetView>
  </sheetViews>
  <sheetFormatPr defaultColWidth="11.44140625" defaultRowHeight="14.4" x14ac:dyDescent="0.3"/>
  <cols>
    <col min="1" max="1" width="2" style="110" customWidth="1"/>
    <col min="2" max="2" width="2.109375" customWidth="1"/>
    <col min="3" max="3" width="21.44140625" customWidth="1"/>
    <col min="4" max="4" width="20.44140625" bestFit="1" customWidth="1"/>
    <col min="5" max="6" width="12.44140625" bestFit="1" customWidth="1"/>
    <col min="7" max="7" width="14.88671875" customWidth="1"/>
    <col min="8" max="9" width="12.44140625" bestFit="1" customWidth="1"/>
    <col min="10" max="10" width="14.44140625" bestFit="1" customWidth="1"/>
    <col min="11" max="11" width="1.5546875" customWidth="1"/>
    <col min="12" max="12" width="13.44140625" customWidth="1"/>
    <col min="13" max="13" width="14.44140625" customWidth="1"/>
    <col min="14" max="14" width="13" customWidth="1"/>
    <col min="15" max="15" width="14.44140625" customWidth="1"/>
    <col min="16" max="16" width="13.88671875" customWidth="1"/>
    <col min="17" max="17" width="14.5546875" customWidth="1"/>
    <col min="18" max="18" width="12.44140625" bestFit="1" customWidth="1"/>
    <col min="23" max="79" width="10.88671875" style="110"/>
  </cols>
  <sheetData>
    <row r="1" spans="2:22" s="110" customFormat="1" ht="15" thickBot="1" x14ac:dyDescent="0.35"/>
    <row r="2" spans="2:22" x14ac:dyDescent="0.3">
      <c r="B2" s="603" t="s">
        <v>0</v>
      </c>
      <c r="C2" s="604"/>
      <c r="D2" s="614" t="str">
        <f>'Primary Site'!B2</f>
        <v>MINUTE</v>
      </c>
      <c r="E2" s="614"/>
      <c r="F2" s="614"/>
      <c r="G2" s="614"/>
      <c r="H2" s="614"/>
      <c r="I2" s="614"/>
      <c r="J2" s="615"/>
      <c r="K2" s="110"/>
      <c r="L2" s="587" t="s">
        <v>1</v>
      </c>
      <c r="M2" s="588"/>
      <c r="N2" s="190"/>
      <c r="O2" s="190"/>
      <c r="P2" s="190"/>
      <c r="Q2" s="191"/>
      <c r="R2" s="110"/>
      <c r="S2" s="110"/>
      <c r="T2" s="110"/>
      <c r="U2" s="110"/>
      <c r="V2" s="110"/>
    </row>
    <row r="3" spans="2:22" x14ac:dyDescent="0.3">
      <c r="B3" s="597" t="s">
        <v>2</v>
      </c>
      <c r="C3" s="598"/>
      <c r="D3" s="601" t="str">
        <f>'Primary Site'!B3</f>
        <v>Mary Jo Pugh; David Tate</v>
      </c>
      <c r="E3" s="601"/>
      <c r="F3" s="601"/>
      <c r="G3" s="602"/>
      <c r="H3" s="146" t="str">
        <f>'Primary Site'!K9</f>
        <v>Period</v>
      </c>
      <c r="I3" s="146" t="str">
        <f>'Primary Site'!L9</f>
        <v>Start Date</v>
      </c>
      <c r="J3" s="147" t="str">
        <f>'Primary Site'!M9</f>
        <v>End Date</v>
      </c>
      <c r="K3" s="110"/>
      <c r="L3" s="616" t="s">
        <v>3</v>
      </c>
      <c r="M3" s="617"/>
      <c r="N3" s="617"/>
      <c r="O3" s="617"/>
      <c r="P3" s="617"/>
      <c r="Q3" s="618"/>
      <c r="R3" s="110"/>
      <c r="S3" s="110"/>
      <c r="T3" s="110"/>
      <c r="U3" s="110"/>
      <c r="V3" s="110"/>
    </row>
    <row r="4" spans="2:22" x14ac:dyDescent="0.3">
      <c r="B4" s="597" t="s">
        <v>4</v>
      </c>
      <c r="C4" s="598"/>
      <c r="D4" s="610" t="str">
        <f>'Primary Site'!B1</f>
        <v>DoD CDMRP Epilepsy Research Program Research Partnership Award</v>
      </c>
      <c r="E4" s="610"/>
      <c r="F4" s="610"/>
      <c r="G4" s="611"/>
      <c r="H4" s="146">
        <f>'Primary Site'!K10</f>
        <v>1</v>
      </c>
      <c r="I4" s="129">
        <f>'Primary Site'!L10</f>
        <v>44470</v>
      </c>
      <c r="J4" s="148">
        <f>'Primary Site'!M10</f>
        <v>44834</v>
      </c>
      <c r="K4" s="110"/>
      <c r="L4" s="619"/>
      <c r="M4" s="617"/>
      <c r="N4" s="617"/>
      <c r="O4" s="617"/>
      <c r="P4" s="617"/>
      <c r="Q4" s="618"/>
      <c r="R4" s="110"/>
      <c r="S4" s="110"/>
      <c r="T4" s="110"/>
      <c r="U4" s="110"/>
      <c r="V4" s="110"/>
    </row>
    <row r="5" spans="2:22" x14ac:dyDescent="0.3">
      <c r="B5" s="597" t="s">
        <v>5</v>
      </c>
      <c r="C5" s="598"/>
      <c r="D5" s="605">
        <f>'Primary Site'!B5</f>
        <v>4</v>
      </c>
      <c r="E5" s="605"/>
      <c r="F5" s="605"/>
      <c r="G5" s="606"/>
      <c r="H5" s="146">
        <f>'Primary Site'!K11</f>
        <v>2</v>
      </c>
      <c r="I5" s="129">
        <f>'Primary Site'!L11</f>
        <v>44835</v>
      </c>
      <c r="J5" s="148">
        <f>'Primary Site'!M11</f>
        <v>45199</v>
      </c>
      <c r="K5" s="110"/>
      <c r="L5" s="619"/>
      <c r="M5" s="617"/>
      <c r="N5" s="617"/>
      <c r="O5" s="617"/>
      <c r="P5" s="617"/>
      <c r="Q5" s="618"/>
      <c r="R5" s="110"/>
      <c r="S5" s="110"/>
      <c r="T5" s="110"/>
      <c r="U5" s="110"/>
      <c r="V5" s="110"/>
    </row>
    <row r="6" spans="2:22" x14ac:dyDescent="0.3">
      <c r="B6" s="597" t="s">
        <v>6</v>
      </c>
      <c r="C6" s="598"/>
      <c r="D6" s="605" t="str">
        <f>'Primary Site'!B6</f>
        <v xml:space="preserve">DoD  </v>
      </c>
      <c r="E6" s="605"/>
      <c r="F6" s="605"/>
      <c r="G6" s="606"/>
      <c r="H6" s="146">
        <f>'Primary Site'!K12</f>
        <v>3</v>
      </c>
      <c r="I6" s="129">
        <f>'Primary Site'!L12</f>
        <v>45200</v>
      </c>
      <c r="J6" s="148">
        <f>'Primary Site'!M12</f>
        <v>45565</v>
      </c>
      <c r="K6" s="110"/>
      <c r="L6" s="619"/>
      <c r="M6" s="617"/>
      <c r="N6" s="617"/>
      <c r="O6" s="617"/>
      <c r="P6" s="617"/>
      <c r="Q6" s="618"/>
      <c r="R6" s="110"/>
      <c r="S6" s="110"/>
      <c r="T6" s="110"/>
      <c r="U6" s="110"/>
      <c r="V6" s="110"/>
    </row>
    <row r="7" spans="2:22" x14ac:dyDescent="0.3">
      <c r="B7" s="599" t="s">
        <v>7</v>
      </c>
      <c r="C7" s="600"/>
      <c r="D7" s="626">
        <f>'Primary Site'!B8</f>
        <v>44033</v>
      </c>
      <c r="E7" s="627"/>
      <c r="F7" s="627"/>
      <c r="G7" s="628"/>
      <c r="H7" s="146">
        <f>'Primary Site'!K13</f>
        <v>4</v>
      </c>
      <c r="I7" s="129">
        <f>'Primary Site'!L13</f>
        <v>45566</v>
      </c>
      <c r="J7" s="148">
        <f>'Primary Site'!M13</f>
        <v>45930</v>
      </c>
      <c r="K7" s="110"/>
      <c r="L7" s="619"/>
      <c r="M7" s="617"/>
      <c r="N7" s="617"/>
      <c r="O7" s="617"/>
      <c r="P7" s="617"/>
      <c r="Q7" s="618"/>
      <c r="R7" s="110"/>
      <c r="S7" s="110"/>
      <c r="T7" s="110"/>
      <c r="U7" s="110"/>
      <c r="V7" s="110"/>
    </row>
    <row r="8" spans="2:22" ht="15" thickBot="1" x14ac:dyDescent="0.35">
      <c r="B8" s="145"/>
      <c r="C8" s="149"/>
      <c r="D8" s="149"/>
      <c r="E8" s="149"/>
      <c r="F8" s="149"/>
      <c r="G8" s="149"/>
      <c r="H8" s="150" t="str">
        <f>'Primary Site'!K14</f>
        <v/>
      </c>
      <c r="I8" s="151" t="str">
        <f>'Primary Site'!L14</f>
        <v/>
      </c>
      <c r="J8" s="152" t="str">
        <f>'Primary Site'!M14</f>
        <v/>
      </c>
      <c r="K8" s="110"/>
      <c r="L8" s="619"/>
      <c r="M8" s="617"/>
      <c r="N8" s="617"/>
      <c r="O8" s="617"/>
      <c r="P8" s="617"/>
      <c r="Q8" s="618"/>
      <c r="R8" s="110"/>
      <c r="S8" s="110"/>
      <c r="T8" s="110"/>
      <c r="U8" s="110"/>
      <c r="V8" s="110"/>
    </row>
    <row r="9" spans="2:22" ht="6" customHeight="1" thickBot="1" x14ac:dyDescent="0.35">
      <c r="B9" s="110"/>
      <c r="C9" s="110"/>
      <c r="D9" s="110"/>
      <c r="E9" s="110"/>
      <c r="F9" s="110"/>
      <c r="G9" s="110"/>
      <c r="I9" s="110"/>
      <c r="J9" s="110"/>
      <c r="K9" s="110"/>
      <c r="L9" s="619"/>
      <c r="M9" s="617"/>
      <c r="N9" s="617"/>
      <c r="O9" s="617"/>
      <c r="P9" s="617"/>
      <c r="Q9" s="618"/>
      <c r="R9" s="110"/>
      <c r="S9" s="110"/>
      <c r="T9" s="110"/>
      <c r="U9" s="110"/>
      <c r="V9" s="110"/>
    </row>
    <row r="10" spans="2:22" x14ac:dyDescent="0.3">
      <c r="B10" s="137"/>
      <c r="C10" s="138"/>
      <c r="D10" s="138"/>
      <c r="E10" s="138"/>
      <c r="F10" s="138"/>
      <c r="G10" s="138"/>
      <c r="H10" s="612" t="s">
        <v>8</v>
      </c>
      <c r="I10" s="612"/>
      <c r="J10" s="613"/>
      <c r="K10" s="110"/>
      <c r="L10" s="619"/>
      <c r="M10" s="617"/>
      <c r="N10" s="617"/>
      <c r="O10" s="617"/>
      <c r="P10" s="617"/>
      <c r="Q10" s="618"/>
      <c r="R10" s="110"/>
      <c r="S10" s="111"/>
      <c r="T10" s="110"/>
      <c r="U10" s="110"/>
      <c r="V10" s="110"/>
    </row>
    <row r="11" spans="2:22" x14ac:dyDescent="0.3">
      <c r="B11" s="139"/>
      <c r="C11" s="110"/>
      <c r="D11" s="110"/>
      <c r="E11" s="110"/>
      <c r="F11" s="110"/>
      <c r="G11" s="110"/>
      <c r="H11" s="188"/>
      <c r="I11" s="188"/>
      <c r="J11" s="189"/>
      <c r="K11" s="110"/>
      <c r="L11" s="619"/>
      <c r="M11" s="617"/>
      <c r="N11" s="617"/>
      <c r="O11" s="617"/>
      <c r="P11" s="617"/>
      <c r="Q11" s="618"/>
      <c r="R11" s="110"/>
      <c r="S11" s="110"/>
      <c r="T11" s="110"/>
      <c r="U11" s="110"/>
      <c r="V11" s="110"/>
    </row>
    <row r="12" spans="2:22" x14ac:dyDescent="0.3">
      <c r="B12" s="139"/>
      <c r="C12" s="110"/>
      <c r="D12" s="110"/>
      <c r="E12" s="110"/>
      <c r="F12" s="110"/>
      <c r="G12" s="110"/>
      <c r="H12" s="110"/>
      <c r="I12" s="110"/>
      <c r="J12" s="140"/>
      <c r="K12" s="110"/>
      <c r="L12" s="619"/>
      <c r="M12" s="617"/>
      <c r="N12" s="617"/>
      <c r="O12" s="617"/>
      <c r="P12" s="617"/>
      <c r="Q12" s="618"/>
      <c r="R12" s="110"/>
      <c r="S12" s="110"/>
      <c r="T12" s="110"/>
      <c r="U12" s="110"/>
      <c r="V12" s="110"/>
    </row>
    <row r="13" spans="2:22" x14ac:dyDescent="0.3">
      <c r="B13" s="141" t="s">
        <v>9</v>
      </c>
      <c r="C13" s="135"/>
      <c r="D13" s="130" t="s">
        <v>10</v>
      </c>
      <c r="E13" s="131">
        <v>1</v>
      </c>
      <c r="F13" s="131">
        <v>2</v>
      </c>
      <c r="G13" s="131">
        <v>3</v>
      </c>
      <c r="H13" s="131">
        <v>4</v>
      </c>
      <c r="I13" s="131">
        <v>5</v>
      </c>
      <c r="J13" s="142" t="s">
        <v>11</v>
      </c>
      <c r="K13" s="110"/>
      <c r="L13" s="619"/>
      <c r="M13" s="617"/>
      <c r="N13" s="617"/>
      <c r="O13" s="617"/>
      <c r="P13" s="617"/>
      <c r="Q13" s="618"/>
      <c r="R13" s="110"/>
      <c r="S13" s="110"/>
      <c r="T13" s="110"/>
      <c r="U13" s="110"/>
      <c r="V13" s="110"/>
    </row>
    <row r="14" spans="2:22" x14ac:dyDescent="0.3">
      <c r="B14" s="139"/>
      <c r="C14" s="132" t="str">
        <f>'Primary Site'!A21</f>
        <v>Mary Jo Pugh</v>
      </c>
      <c r="D14" s="132" t="str">
        <f>'Primary Site'!B21</f>
        <v>Co-PI</v>
      </c>
      <c r="E14" s="133">
        <f>'Primary Site'!M21</f>
        <v>0.1</v>
      </c>
      <c r="F14" s="133">
        <f>'Primary Site'!S21</f>
        <v>0.15</v>
      </c>
      <c r="G14" s="133">
        <f>'Primary Site'!Y21</f>
        <v>0.15</v>
      </c>
      <c r="H14" s="133">
        <f>'Primary Site'!AE21</f>
        <v>0.15</v>
      </c>
      <c r="I14" s="133">
        <f>'Primary Site'!AK21</f>
        <v>0</v>
      </c>
      <c r="J14" s="562">
        <f>'Primary Site'!AO21</f>
        <v>162250.461029964</v>
      </c>
      <c r="K14" s="110"/>
      <c r="L14" s="619"/>
      <c r="M14" s="617"/>
      <c r="N14" s="617"/>
      <c r="O14" s="617"/>
      <c r="P14" s="617"/>
      <c r="Q14" s="618"/>
      <c r="R14" s="110"/>
      <c r="S14" s="110"/>
      <c r="T14" s="110"/>
      <c r="U14" s="110"/>
      <c r="V14" s="110"/>
    </row>
    <row r="15" spans="2:22" x14ac:dyDescent="0.3">
      <c r="B15" s="139"/>
      <c r="C15" s="132" t="str">
        <f>'Primary Site'!A22</f>
        <v>David Tate</v>
      </c>
      <c r="D15" s="132" t="str">
        <f>'Primary Site'!B22</f>
        <v>Co-I</v>
      </c>
      <c r="E15" s="133">
        <f>'Primary Site'!M22</f>
        <v>0.05</v>
      </c>
      <c r="F15" s="133">
        <f>'Primary Site'!S22</f>
        <v>0.15</v>
      </c>
      <c r="G15" s="133">
        <f>'Primary Site'!Y22</f>
        <v>0.2</v>
      </c>
      <c r="H15" s="133">
        <f>'Primary Site'!AE22</f>
        <v>0.2</v>
      </c>
      <c r="I15" s="133">
        <f>'Primary Site'!AK22</f>
        <v>0</v>
      </c>
      <c r="J15" s="562">
        <f>'Primary Site'!AO22</f>
        <v>131969.64915200003</v>
      </c>
      <c r="K15" s="110"/>
      <c r="L15" s="619"/>
      <c r="M15" s="617"/>
      <c r="N15" s="617"/>
      <c r="O15" s="617"/>
      <c r="P15" s="617"/>
      <c r="Q15" s="618"/>
      <c r="R15" s="110"/>
      <c r="S15" s="110"/>
      <c r="T15" s="110"/>
      <c r="U15" s="110"/>
      <c r="V15" s="110"/>
    </row>
    <row r="16" spans="2:22" x14ac:dyDescent="0.3">
      <c r="B16" s="139"/>
      <c r="C16" s="132" t="str">
        <f>'Primary Site'!A23</f>
        <v>Elizabeth Wilde</v>
      </c>
      <c r="D16" s="132" t="str">
        <f>'Primary Site'!B23</f>
        <v>Co-I</v>
      </c>
      <c r="E16" s="133">
        <f>'Primary Site'!M23</f>
        <v>0.05</v>
      </c>
      <c r="F16" s="133">
        <f>'Primary Site'!S23</f>
        <v>0.15</v>
      </c>
      <c r="G16" s="133">
        <f>'Primary Site'!Y23</f>
        <v>0.15</v>
      </c>
      <c r="H16" s="133">
        <f>'Primary Site'!AE23</f>
        <v>0.1</v>
      </c>
      <c r="I16" s="133">
        <f>'Primary Site'!AK23</f>
        <v>0</v>
      </c>
      <c r="J16" s="562">
        <f>'Primary Site'!AO23</f>
        <v>119868.71890560001</v>
      </c>
      <c r="K16" s="110"/>
      <c r="L16" s="619"/>
      <c r="M16" s="617"/>
      <c r="N16" s="617"/>
      <c r="O16" s="617"/>
      <c r="P16" s="617"/>
      <c r="Q16" s="618"/>
      <c r="R16" s="110"/>
      <c r="S16" s="110"/>
      <c r="T16" s="110"/>
      <c r="U16" s="110"/>
      <c r="V16" s="110"/>
    </row>
    <row r="17" spans="2:22" x14ac:dyDescent="0.3">
      <c r="B17" s="139"/>
      <c r="C17" s="132" t="str">
        <f>'Primary Site'!A24</f>
        <v>Angela Peters</v>
      </c>
      <c r="D17" s="132" t="str">
        <f>'Primary Site'!B24</f>
        <v>Co-I</v>
      </c>
      <c r="E17" s="133">
        <f>'Primary Site'!M24</f>
        <v>0.2</v>
      </c>
      <c r="F17" s="133">
        <f>'Primary Site'!S24</f>
        <v>0.2</v>
      </c>
      <c r="G17" s="133">
        <f>'Primary Site'!Y24</f>
        <v>0.2</v>
      </c>
      <c r="H17" s="133">
        <f>'Primary Site'!AE24</f>
        <v>0.2</v>
      </c>
      <c r="I17" s="133">
        <f>'Primary Site'!AK24</f>
        <v>0</v>
      </c>
      <c r="J17" s="562">
        <f>'Primary Site'!AO24</f>
        <v>0</v>
      </c>
      <c r="K17" s="110"/>
      <c r="L17" s="619"/>
      <c r="M17" s="617"/>
      <c r="N17" s="617"/>
      <c r="O17" s="617"/>
      <c r="P17" s="617"/>
      <c r="Q17" s="618"/>
      <c r="R17" s="110"/>
      <c r="S17" s="110"/>
      <c r="T17" s="110"/>
      <c r="U17" s="110"/>
      <c r="V17" s="110"/>
    </row>
    <row r="18" spans="2:22" ht="15" thickBot="1" x14ac:dyDescent="0.35">
      <c r="B18" s="139"/>
      <c r="C18" s="132">
        <f>'Primary Site'!A26</f>
        <v>0</v>
      </c>
      <c r="D18" s="132">
        <f>'Primary Site'!B26</f>
        <v>0</v>
      </c>
      <c r="E18" s="133">
        <f>'Primary Site'!M26</f>
        <v>0</v>
      </c>
      <c r="F18" s="133">
        <f>'Primary Site'!S26</f>
        <v>0</v>
      </c>
      <c r="G18" s="133">
        <f>'Primary Site'!Y26</f>
        <v>0</v>
      </c>
      <c r="H18" s="133">
        <f>'Primary Site'!AE26</f>
        <v>0</v>
      </c>
      <c r="I18" s="133">
        <f>'Primary Site'!AK26</f>
        <v>0</v>
      </c>
      <c r="J18" s="562">
        <f>'Primary Site'!AO26</f>
        <v>0</v>
      </c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</row>
    <row r="19" spans="2:22" x14ac:dyDescent="0.3">
      <c r="B19" s="139"/>
      <c r="C19" s="132">
        <f>'Primary Site'!A27</f>
        <v>0</v>
      </c>
      <c r="D19" s="132">
        <f>'Primary Site'!B27</f>
        <v>0</v>
      </c>
      <c r="E19" s="133">
        <f>'Primary Site'!M27</f>
        <v>0</v>
      </c>
      <c r="F19" s="133">
        <f>'Primary Site'!S27</f>
        <v>0</v>
      </c>
      <c r="G19" s="133">
        <f>'Primary Site'!Y27</f>
        <v>0</v>
      </c>
      <c r="H19" s="133">
        <f>'Primary Site'!AE27</f>
        <v>0</v>
      </c>
      <c r="I19" s="133">
        <f>'Primary Site'!AK27</f>
        <v>0</v>
      </c>
      <c r="J19" s="562">
        <f>'Primary Site'!AO27</f>
        <v>0</v>
      </c>
      <c r="K19" s="110"/>
      <c r="L19" s="117" t="s">
        <v>12</v>
      </c>
      <c r="M19" s="591" t="s">
        <v>13</v>
      </c>
      <c r="N19" s="592"/>
      <c r="O19" s="592"/>
      <c r="P19" s="592"/>
      <c r="Q19" s="593"/>
      <c r="R19" s="110"/>
      <c r="S19" s="110"/>
      <c r="T19" s="110"/>
      <c r="U19" s="110"/>
      <c r="V19" s="110"/>
    </row>
    <row r="20" spans="2:22" x14ac:dyDescent="0.3">
      <c r="B20" s="139"/>
      <c r="C20" s="132">
        <f>'Primary Site'!A28</f>
        <v>0</v>
      </c>
      <c r="D20" s="132">
        <f>'Primary Site'!B28</f>
        <v>0</v>
      </c>
      <c r="E20" s="133">
        <f>'Primary Site'!M28</f>
        <v>0</v>
      </c>
      <c r="F20" s="133">
        <f>'Primary Site'!S28</f>
        <v>0</v>
      </c>
      <c r="G20" s="133">
        <f>'Primary Site'!Y28</f>
        <v>0</v>
      </c>
      <c r="H20" s="133">
        <f>'Primary Site'!AE28</f>
        <v>0</v>
      </c>
      <c r="I20" s="133">
        <f>'Primary Site'!AK28</f>
        <v>0</v>
      </c>
      <c r="J20" s="562">
        <f>'Primary Site'!AO28</f>
        <v>0</v>
      </c>
      <c r="K20" s="110"/>
      <c r="L20" s="118" t="s">
        <v>14</v>
      </c>
      <c r="M20" s="620" t="str">
        <f>HJF!B3</f>
        <v>Kenney</v>
      </c>
      <c r="N20" s="621"/>
      <c r="O20" s="621"/>
      <c r="P20" s="621"/>
      <c r="Q20" s="622"/>
      <c r="R20" s="110"/>
      <c r="S20" s="110"/>
      <c r="T20" s="110"/>
      <c r="U20" s="110"/>
      <c r="V20" s="110"/>
    </row>
    <row r="21" spans="2:22" x14ac:dyDescent="0.3">
      <c r="B21" s="139"/>
      <c r="C21" s="132">
        <f>'Primary Site'!A29</f>
        <v>0</v>
      </c>
      <c r="D21" s="132">
        <f>'Primary Site'!B29</f>
        <v>0</v>
      </c>
      <c r="E21" s="133">
        <f>'Primary Site'!M29</f>
        <v>0</v>
      </c>
      <c r="F21" s="133">
        <f>'Primary Site'!S29</f>
        <v>0</v>
      </c>
      <c r="G21" s="133">
        <f>'Primary Site'!Y29</f>
        <v>0</v>
      </c>
      <c r="H21" s="133">
        <f>'Primary Site'!AE29</f>
        <v>0</v>
      </c>
      <c r="I21" s="133">
        <f>'Primary Site'!AK29</f>
        <v>0</v>
      </c>
      <c r="J21" s="562">
        <f>'Primary Site'!AO29</f>
        <v>0</v>
      </c>
      <c r="K21" s="110"/>
      <c r="L21" s="118" t="s">
        <v>15</v>
      </c>
      <c r="M21" s="620">
        <f>HJF!B6</f>
        <v>4</v>
      </c>
      <c r="N21" s="621"/>
      <c r="O21" s="621"/>
      <c r="P21" s="621"/>
      <c r="Q21" s="622"/>
      <c r="R21" s="110"/>
      <c r="S21" s="110"/>
      <c r="T21" s="110"/>
      <c r="U21" s="110"/>
      <c r="V21" s="110"/>
    </row>
    <row r="22" spans="2:22" x14ac:dyDescent="0.3">
      <c r="B22" s="139"/>
      <c r="C22" s="132">
        <f>'Primary Site'!A30</f>
        <v>0</v>
      </c>
      <c r="D22" s="132">
        <f>'Primary Site'!B30</f>
        <v>0</v>
      </c>
      <c r="E22" s="133">
        <f>'Primary Site'!M30</f>
        <v>0</v>
      </c>
      <c r="F22" s="133">
        <f>'Primary Site'!S30</f>
        <v>0</v>
      </c>
      <c r="G22" s="133">
        <f>'Primary Site'!Y30</f>
        <v>0</v>
      </c>
      <c r="H22" s="133">
        <f>'Primary Site'!AE30</f>
        <v>0</v>
      </c>
      <c r="I22" s="133">
        <f>'Primary Site'!AK30</f>
        <v>0</v>
      </c>
      <c r="J22" s="562">
        <f>'Primary Site'!AO30</f>
        <v>0</v>
      </c>
      <c r="K22" s="110"/>
      <c r="L22" s="119"/>
      <c r="M22" s="112">
        <v>1</v>
      </c>
      <c r="N22" s="112">
        <v>2</v>
      </c>
      <c r="O22" s="112">
        <v>3</v>
      </c>
      <c r="P22" s="112">
        <v>4</v>
      </c>
      <c r="Q22" s="120">
        <v>5</v>
      </c>
      <c r="R22" s="120" t="s">
        <v>16</v>
      </c>
      <c r="S22" s="110"/>
      <c r="T22" s="110"/>
      <c r="U22" s="110"/>
      <c r="V22" s="110"/>
    </row>
    <row r="23" spans="2:22" x14ac:dyDescent="0.3">
      <c r="B23" s="139"/>
      <c r="C23" s="132">
        <f>'Primary Site'!A31</f>
        <v>0</v>
      </c>
      <c r="D23" s="132">
        <f>'Primary Site'!B31</f>
        <v>0</v>
      </c>
      <c r="E23" s="133">
        <f>'Primary Site'!M31</f>
        <v>0</v>
      </c>
      <c r="F23" s="133">
        <f>'Primary Site'!S31</f>
        <v>0</v>
      </c>
      <c r="G23" s="133">
        <f>'Primary Site'!Y31</f>
        <v>0</v>
      </c>
      <c r="H23" s="133">
        <f>'Primary Site'!AE31</f>
        <v>0</v>
      </c>
      <c r="I23" s="133">
        <f>'Primary Site'!AK31</f>
        <v>0</v>
      </c>
      <c r="J23" s="562">
        <f>'Primary Site'!AO31</f>
        <v>0</v>
      </c>
      <c r="K23" s="110"/>
      <c r="L23" s="118" t="s">
        <v>17</v>
      </c>
      <c r="M23" s="579">
        <f>HJF!K43</f>
        <v>15648</v>
      </c>
      <c r="N23" s="579">
        <f>HJF!Q43</f>
        <v>15960.96</v>
      </c>
      <c r="O23" s="579">
        <f>HJF!W43</f>
        <v>120600.1792</v>
      </c>
      <c r="P23" s="579">
        <f>HJF!AC43</f>
        <v>123012.182784</v>
      </c>
      <c r="Q23" s="580">
        <f>HJF!AI43</f>
        <v>0</v>
      </c>
      <c r="R23" s="580">
        <f>SUM(M23:Q23)</f>
        <v>275221.32198400004</v>
      </c>
      <c r="S23" s="110"/>
      <c r="T23" s="110"/>
      <c r="U23" s="110"/>
      <c r="V23" s="110"/>
    </row>
    <row r="24" spans="2:22" x14ac:dyDescent="0.3">
      <c r="B24" s="143"/>
      <c r="C24" s="595" t="s">
        <v>18</v>
      </c>
      <c r="D24" s="595"/>
      <c r="E24" s="134">
        <f>'Primary Site'!P32</f>
        <v>52023.197000000015</v>
      </c>
      <c r="F24" s="134">
        <f>'Primary Site'!V32</f>
        <v>115504.74440999998</v>
      </c>
      <c r="G24" s="134">
        <f>'Primary Site'!AB32</f>
        <v>128828.51369820003</v>
      </c>
      <c r="H24" s="134">
        <f>'Primary Site'!AH32</f>
        <v>117732.37397936401</v>
      </c>
      <c r="I24" s="134">
        <f>'Primary Site'!AN32</f>
        <v>0</v>
      </c>
      <c r="J24" s="563">
        <f>'Primary Site'!AO32</f>
        <v>414088.82908756402</v>
      </c>
      <c r="K24" s="110"/>
      <c r="L24" s="118" t="s">
        <v>19</v>
      </c>
      <c r="M24" s="579">
        <f>HJF!K83</f>
        <v>14551</v>
      </c>
      <c r="N24" s="579">
        <f>HJF!Q83</f>
        <v>27976</v>
      </c>
      <c r="O24" s="579">
        <f>HJF!W83</f>
        <v>113476</v>
      </c>
      <c r="P24" s="579">
        <f>HJF!AC83</f>
        <v>92551</v>
      </c>
      <c r="Q24" s="580">
        <f>HJF!AI83</f>
        <v>0</v>
      </c>
      <c r="R24" s="580">
        <f>SUM(M24:Q24)</f>
        <v>248554</v>
      </c>
      <c r="S24" s="110"/>
      <c r="T24" s="110"/>
      <c r="U24" s="110"/>
      <c r="V24" s="110"/>
    </row>
    <row r="25" spans="2:22" x14ac:dyDescent="0.3">
      <c r="B25" s="141" t="s">
        <v>20</v>
      </c>
      <c r="C25" s="135"/>
      <c r="D25" s="130" t="s">
        <v>10</v>
      </c>
      <c r="E25" s="131">
        <v>1</v>
      </c>
      <c r="F25" s="131">
        <v>2</v>
      </c>
      <c r="G25" s="131">
        <v>3</v>
      </c>
      <c r="H25" s="131">
        <v>4</v>
      </c>
      <c r="I25" s="131">
        <v>5</v>
      </c>
      <c r="J25" s="564">
        <v>6</v>
      </c>
      <c r="K25" s="110"/>
      <c r="L25" s="118" t="s">
        <v>21</v>
      </c>
      <c r="M25" s="579">
        <f>HJF!K84</f>
        <v>33199</v>
      </c>
      <c r="N25" s="579">
        <f>HJF!W84</f>
        <v>251076.17920000001</v>
      </c>
      <c r="O25" s="579">
        <f>HJF!W84</f>
        <v>251076.17920000001</v>
      </c>
      <c r="P25" s="579">
        <f>HJF!AC84</f>
        <v>218563.182784</v>
      </c>
      <c r="Q25" s="580">
        <f>HJF!AI84</f>
        <v>0</v>
      </c>
      <c r="R25" s="580">
        <f>SUM(M25:Q25)</f>
        <v>753914.54118399997</v>
      </c>
      <c r="S25" s="110"/>
      <c r="T25" s="110"/>
      <c r="U25" s="110"/>
      <c r="V25" s="110"/>
    </row>
    <row r="26" spans="2:22" x14ac:dyDescent="0.3">
      <c r="B26" s="139"/>
      <c r="C26" s="132" t="str">
        <f>'Primary Site'!A34</f>
        <v>Eamonn</v>
      </c>
      <c r="D26" s="132" t="str">
        <f>'Primary Site'!B34</f>
        <v>Research Scientist</v>
      </c>
      <c r="E26" s="133">
        <f>'Primary Site'!M34</f>
        <v>0.05</v>
      </c>
      <c r="F26" s="133">
        <f>'Primary Site'!S34</f>
        <v>0.2</v>
      </c>
      <c r="G26" s="133">
        <f>'Primary Site'!Y34</f>
        <v>0.2</v>
      </c>
      <c r="H26" s="133">
        <f>'Primary Site'!AE34</f>
        <v>0.2</v>
      </c>
      <c r="I26" s="133">
        <f>'Primary Site'!AK34</f>
        <v>0</v>
      </c>
      <c r="J26" s="562">
        <f>'Primary Site'!AO34</f>
        <v>87661.808000000019</v>
      </c>
      <c r="K26" s="110"/>
      <c r="L26" s="118" t="s">
        <v>22</v>
      </c>
      <c r="M26" s="579">
        <f>HJF!K87</f>
        <v>5828.3030000000008</v>
      </c>
      <c r="N26" s="579">
        <f>HJF!Q87</f>
        <v>8240.0952400000006</v>
      </c>
      <c r="O26" s="579">
        <f>HJF!W87</f>
        <v>41620.505284800005</v>
      </c>
      <c r="P26" s="579">
        <f>HJF!AC87</f>
        <v>38370.297890496004</v>
      </c>
      <c r="Q26" s="580">
        <f>HJF!AI87</f>
        <v>0</v>
      </c>
      <c r="R26" s="580">
        <f>SUM(M26:Q26)</f>
        <v>94059.201415296004</v>
      </c>
      <c r="S26" s="110"/>
      <c r="T26" s="110"/>
      <c r="U26" s="110"/>
      <c r="V26" s="110"/>
    </row>
    <row r="27" spans="2:22" ht="15" thickBot="1" x14ac:dyDescent="0.35">
      <c r="B27" s="139"/>
      <c r="C27" s="132" t="str">
        <f>'Primary Site'!A35</f>
        <v>Megan Amuan</v>
      </c>
      <c r="D27" s="132" t="str">
        <f>'Primary Site'!B35</f>
        <v>Data Manager</v>
      </c>
      <c r="E27" s="133">
        <f>'Primary Site'!M35</f>
        <v>0.1</v>
      </c>
      <c r="F27" s="133">
        <f>'Primary Site'!S35</f>
        <v>0</v>
      </c>
      <c r="G27" s="133">
        <f>'Primary Site'!Y35</f>
        <v>0</v>
      </c>
      <c r="H27" s="133">
        <f>'Primary Site'!AE35</f>
        <v>0</v>
      </c>
      <c r="I27" s="133">
        <f>'Primary Site'!AK35</f>
        <v>0</v>
      </c>
      <c r="J27" s="562">
        <f>'Primary Site'!AO35</f>
        <v>13260.000000000002</v>
      </c>
      <c r="K27" s="110"/>
      <c r="L27" s="121" t="s">
        <v>23</v>
      </c>
      <c r="M27" s="581">
        <f>HJF!K89</f>
        <v>40315.303</v>
      </c>
      <c r="N27" s="581">
        <f>HJF!Q89</f>
        <v>56998.055240000002</v>
      </c>
      <c r="O27" s="581">
        <f>HJF!W89</f>
        <v>301895.68448480003</v>
      </c>
      <c r="P27" s="581">
        <f>HJF!AC89</f>
        <v>265413.48067449604</v>
      </c>
      <c r="Q27" s="582">
        <f>HJF!AI89</f>
        <v>0</v>
      </c>
      <c r="R27" s="582">
        <f>SUM(M27:Q27)</f>
        <v>664622.5233992961</v>
      </c>
      <c r="S27" s="110"/>
      <c r="T27" s="110"/>
      <c r="U27" s="110"/>
      <c r="V27" s="110"/>
    </row>
    <row r="28" spans="2:22" ht="15" thickBot="1" x14ac:dyDescent="0.35">
      <c r="B28" s="139"/>
      <c r="C28" s="132" t="str">
        <f>'Primary Site'!A36</f>
        <v>Ben Wade</v>
      </c>
      <c r="D28" s="132" t="str">
        <f>'Primary Site'!B36</f>
        <v>Research Scientist</v>
      </c>
      <c r="E28" s="133">
        <f>'Primary Site'!M36</f>
        <v>0.05</v>
      </c>
      <c r="F28" s="133">
        <f>'Primary Site'!S36</f>
        <v>0.2</v>
      </c>
      <c r="G28" s="133">
        <f>'Primary Site'!Y36</f>
        <v>0.2</v>
      </c>
      <c r="H28" s="133">
        <f>'Primary Site'!AE36</f>
        <v>0.2</v>
      </c>
      <c r="I28" s="133">
        <f>'Primary Site'!AK36</f>
        <v>0</v>
      </c>
      <c r="J28" s="562">
        <f>'Primary Site'!AO36</f>
        <v>97102.310400000017</v>
      </c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</row>
    <row r="29" spans="2:22" x14ac:dyDescent="0.3">
      <c r="B29" s="139"/>
      <c r="C29" s="132" t="str">
        <f>'Primary Site'!A37</f>
        <v>Carmen</v>
      </c>
      <c r="D29" s="132" t="str">
        <f>'Primary Site'!B37</f>
        <v>Research Coordinator</v>
      </c>
      <c r="E29" s="133">
        <f>'Primary Site'!M37</f>
        <v>0.4</v>
      </c>
      <c r="F29" s="133">
        <f>'Primary Site'!S37</f>
        <v>1</v>
      </c>
      <c r="G29" s="133">
        <f>'Primary Site'!Y37</f>
        <v>1</v>
      </c>
      <c r="H29" s="133">
        <f>'Primary Site'!AE37</f>
        <v>0.6</v>
      </c>
      <c r="I29" s="133">
        <f>'Primary Site'!AK37</f>
        <v>0</v>
      </c>
      <c r="J29" s="562">
        <f>'Primary Site'!AO37</f>
        <v>241977.43148656003</v>
      </c>
      <c r="K29" s="110"/>
      <c r="L29" s="113" t="s">
        <v>12</v>
      </c>
      <c r="M29" s="629" t="s">
        <v>24</v>
      </c>
      <c r="N29" s="630"/>
      <c r="O29" s="630"/>
      <c r="P29" s="630"/>
      <c r="Q29" s="631"/>
      <c r="R29" s="110"/>
      <c r="S29" s="110"/>
      <c r="T29" s="110"/>
      <c r="U29" s="110"/>
      <c r="V29" s="110"/>
    </row>
    <row r="30" spans="2:22" x14ac:dyDescent="0.3">
      <c r="B30" s="139"/>
      <c r="C30" s="132" t="str">
        <f>'Primary Site'!A38</f>
        <v>Spencer Erikson</v>
      </c>
      <c r="D30" s="132" t="str">
        <f>'Primary Site'!B38</f>
        <v>Clinical RC</v>
      </c>
      <c r="E30" s="133">
        <f>'Primary Site'!M38</f>
        <v>0.2</v>
      </c>
      <c r="F30" s="133">
        <f>'Primary Site'!S38</f>
        <v>0.5</v>
      </c>
      <c r="G30" s="133">
        <f>'Primary Site'!Y38</f>
        <v>0.5</v>
      </c>
      <c r="H30" s="133">
        <f>'Primary Site'!AE38</f>
        <v>0</v>
      </c>
      <c r="I30" s="133">
        <f>'Primary Site'!AK38</f>
        <v>0</v>
      </c>
      <c r="J30" s="562">
        <f>'Primary Site'!AO38</f>
        <v>72889.350000000006</v>
      </c>
      <c r="K30" s="110"/>
      <c r="L30" s="114" t="s">
        <v>14</v>
      </c>
      <c r="M30" s="632" t="str">
        <f>Penn!B3</f>
        <v>Diaz-Arrastia</v>
      </c>
      <c r="N30" s="633"/>
      <c r="O30" s="633"/>
      <c r="P30" s="633"/>
      <c r="Q30" s="634"/>
      <c r="R30" s="110"/>
      <c r="S30" s="110"/>
      <c r="T30" s="110"/>
      <c r="U30" s="110"/>
      <c r="V30" s="110"/>
    </row>
    <row r="31" spans="2:22" x14ac:dyDescent="0.3">
      <c r="B31" s="139"/>
      <c r="C31" s="132" t="str">
        <f>'Primary Site'!A39</f>
        <v>Silvia Padilla</v>
      </c>
      <c r="D31" s="132" t="str">
        <f>'Primary Site'!B39</f>
        <v>Database Analyst</v>
      </c>
      <c r="E31" s="133">
        <f>'Primary Site'!M39</f>
        <v>0.1</v>
      </c>
      <c r="F31" s="133">
        <f>'Primary Site'!S39</f>
        <v>0.25</v>
      </c>
      <c r="G31" s="133">
        <f>'Primary Site'!Y39</f>
        <v>0.25</v>
      </c>
      <c r="H31" s="133">
        <f>'Primary Site'!AE39</f>
        <v>0.25</v>
      </c>
      <c r="I31" s="133">
        <f>'Primary Site'!AK39</f>
        <v>0</v>
      </c>
      <c r="J31" s="562">
        <f>'Primary Site'!AO39</f>
        <v>64207.717860000004</v>
      </c>
      <c r="K31" s="110"/>
      <c r="L31" s="114" t="s">
        <v>15</v>
      </c>
      <c r="M31" s="635">
        <f>Penn!B6</f>
        <v>4</v>
      </c>
      <c r="N31" s="636"/>
      <c r="O31" s="636"/>
      <c r="P31" s="636"/>
      <c r="Q31" s="637"/>
      <c r="R31" s="110"/>
      <c r="S31" s="110"/>
      <c r="T31" s="110"/>
      <c r="U31" s="110"/>
      <c r="V31" s="110"/>
    </row>
    <row r="32" spans="2:22" x14ac:dyDescent="0.3">
      <c r="B32" s="139"/>
      <c r="C32" s="132" t="str">
        <f>'Primary Site'!A40</f>
        <v>Andrea Kalvesmaki</v>
      </c>
      <c r="D32" s="132" t="str">
        <f>'Primary Site'!B40</f>
        <v>Research Associate</v>
      </c>
      <c r="E32" s="133">
        <f>'Primary Site'!M40</f>
        <v>0.4</v>
      </c>
      <c r="F32" s="133">
        <f>'Primary Site'!S40</f>
        <v>0.4</v>
      </c>
      <c r="G32" s="133">
        <f>'Primary Site'!Y40</f>
        <v>0.4</v>
      </c>
      <c r="H32" s="133">
        <f>'Primary Site'!AE40</f>
        <v>0.39</v>
      </c>
      <c r="I32" s="133">
        <f>'Primary Site'!AK40</f>
        <v>0</v>
      </c>
      <c r="J32" s="562">
        <f>'Primary Site'!AO40</f>
        <v>135137.56740000003</v>
      </c>
      <c r="K32" s="110"/>
      <c r="L32" s="115"/>
      <c r="M32" s="192">
        <v>1</v>
      </c>
      <c r="N32" s="192">
        <v>2</v>
      </c>
      <c r="O32" s="192">
        <v>3</v>
      </c>
      <c r="P32" s="192">
        <v>4</v>
      </c>
      <c r="Q32" s="193">
        <v>5</v>
      </c>
      <c r="R32" s="110"/>
      <c r="S32" s="110"/>
      <c r="T32" s="110"/>
      <c r="U32" s="110"/>
      <c r="V32" s="110"/>
    </row>
    <row r="33" spans="2:31" x14ac:dyDescent="0.3">
      <c r="B33" s="139"/>
      <c r="C33" s="132">
        <f>'Primary Site'!A43</f>
        <v>0</v>
      </c>
      <c r="D33" s="132">
        <f>'Primary Site'!B43</f>
        <v>0</v>
      </c>
      <c r="E33" s="133">
        <f>'Primary Site'!M43</f>
        <v>0</v>
      </c>
      <c r="F33" s="133">
        <f>'Primary Site'!S43</f>
        <v>0</v>
      </c>
      <c r="G33" s="133">
        <f>'Primary Site'!Y43</f>
        <v>0</v>
      </c>
      <c r="H33" s="133">
        <f>'Primary Site'!AE43</f>
        <v>0</v>
      </c>
      <c r="I33" s="133">
        <f>'Primary Site'!AK43</f>
        <v>0</v>
      </c>
      <c r="J33" s="562">
        <f>'Primary Site'!AO43</f>
        <v>0</v>
      </c>
      <c r="K33" s="110"/>
      <c r="L33" s="114" t="s">
        <v>17</v>
      </c>
      <c r="M33" s="196">
        <f>Penn!K43</f>
        <v>0</v>
      </c>
      <c r="N33" s="196">
        <f>Penn!Q43</f>
        <v>0</v>
      </c>
      <c r="O33" s="196">
        <f>Penn!W43</f>
        <v>0</v>
      </c>
      <c r="P33" s="196">
        <f>Penn!AC43</f>
        <v>0</v>
      </c>
      <c r="Q33" s="197">
        <f>Penn!AI43</f>
        <v>0</v>
      </c>
      <c r="R33" s="110"/>
      <c r="S33" s="110"/>
      <c r="T33" s="110"/>
      <c r="U33" s="110"/>
      <c r="V33" s="110"/>
    </row>
    <row r="34" spans="2:31" x14ac:dyDescent="0.3">
      <c r="B34" s="139"/>
      <c r="C34" s="132">
        <f>'Primary Site'!A44</f>
        <v>0</v>
      </c>
      <c r="D34" s="132">
        <f>'Primary Site'!B44</f>
        <v>0</v>
      </c>
      <c r="E34" s="133">
        <f>'Primary Site'!M44</f>
        <v>0</v>
      </c>
      <c r="F34" s="133">
        <f>'Primary Site'!S44</f>
        <v>0</v>
      </c>
      <c r="G34" s="133">
        <f>'Primary Site'!Y44</f>
        <v>0</v>
      </c>
      <c r="H34" s="133">
        <f>'Primary Site'!AE44</f>
        <v>0</v>
      </c>
      <c r="I34" s="133">
        <f>'Primary Site'!AK44</f>
        <v>0</v>
      </c>
      <c r="J34" s="562">
        <f>'Primary Site'!AO44</f>
        <v>0</v>
      </c>
      <c r="K34" s="110"/>
      <c r="L34" s="114" t="s">
        <v>19</v>
      </c>
      <c r="M34" s="196">
        <f>Penn!K80</f>
        <v>0</v>
      </c>
      <c r="N34" s="196">
        <f>Penn!Q80</f>
        <v>0</v>
      </c>
      <c r="O34" s="196">
        <f>Penn!W80</f>
        <v>0</v>
      </c>
      <c r="P34" s="196">
        <f>Penn!AC80</f>
        <v>0</v>
      </c>
      <c r="Q34" s="197">
        <f>Penn!AI80</f>
        <v>0</v>
      </c>
      <c r="R34" s="110"/>
      <c r="S34" s="110"/>
      <c r="T34" s="110"/>
      <c r="U34" s="110"/>
      <c r="V34" s="110"/>
      <c r="AE34" s="498">
        <v>0.3</v>
      </c>
    </row>
    <row r="35" spans="2:31" x14ac:dyDescent="0.3">
      <c r="B35" s="139"/>
      <c r="C35" s="132">
        <f>'Primary Site'!A45</f>
        <v>0</v>
      </c>
      <c r="D35" s="132">
        <f>'Primary Site'!B45</f>
        <v>0</v>
      </c>
      <c r="E35" s="133">
        <f>'Primary Site'!M45</f>
        <v>0</v>
      </c>
      <c r="F35" s="133">
        <f>'Primary Site'!S45</f>
        <v>0</v>
      </c>
      <c r="G35" s="133">
        <f>'Primary Site'!Y45</f>
        <v>0</v>
      </c>
      <c r="H35" s="133">
        <f>'Primary Site'!AE45</f>
        <v>0</v>
      </c>
      <c r="I35" s="133">
        <f>'Primary Site'!AK45</f>
        <v>0</v>
      </c>
      <c r="J35" s="562">
        <f>'Primary Site'!AO45</f>
        <v>0</v>
      </c>
      <c r="K35" s="110"/>
      <c r="L35" s="114" t="s">
        <v>21</v>
      </c>
      <c r="M35" s="196">
        <f>Penn!K81</f>
        <v>0</v>
      </c>
      <c r="N35" s="196">
        <f>Penn!Q81</f>
        <v>0</v>
      </c>
      <c r="O35" s="196">
        <f>Penn!W81</f>
        <v>0</v>
      </c>
      <c r="P35" s="196">
        <f>Penn!AC81</f>
        <v>0</v>
      </c>
      <c r="Q35" s="197">
        <f>Penn!AI81</f>
        <v>0</v>
      </c>
      <c r="R35" s="110"/>
      <c r="S35" s="110"/>
      <c r="T35" s="110"/>
      <c r="U35" s="110"/>
      <c r="V35" s="110"/>
    </row>
    <row r="36" spans="2:31" x14ac:dyDescent="0.3">
      <c r="B36" s="139"/>
      <c r="C36" s="594" t="s">
        <v>25</v>
      </c>
      <c r="D36" s="594"/>
      <c r="E36" s="569">
        <f>'Primary Site'!P49</f>
        <v>110354.88000000003</v>
      </c>
      <c r="F36" s="569">
        <f>'Primary Site'!V49</f>
        <v>218062.94400000002</v>
      </c>
      <c r="G36" s="569">
        <f>'Primary Site'!AB49</f>
        <v>222424.20288000003</v>
      </c>
      <c r="H36" s="569">
        <f>'Primary Site'!AH49</f>
        <v>161394.15826656003</v>
      </c>
      <c r="I36" s="569">
        <f>'Primary Site'!AN49</f>
        <v>0</v>
      </c>
      <c r="J36" s="563">
        <f>'Primary Site'!AO49</f>
        <v>712236.18514656008</v>
      </c>
      <c r="K36" s="110"/>
      <c r="L36" s="114" t="s">
        <v>22</v>
      </c>
      <c r="M36" s="196">
        <f>Penn!K83</f>
        <v>0</v>
      </c>
      <c r="N36" s="196">
        <f>Penn!Q83</f>
        <v>0</v>
      </c>
      <c r="O36" s="196">
        <f>Penn!W83</f>
        <v>0</v>
      </c>
      <c r="P36" s="196">
        <f>Penn!AC83</f>
        <v>0</v>
      </c>
      <c r="Q36" s="197">
        <f>Penn!AI83</f>
        <v>0</v>
      </c>
      <c r="R36" s="110"/>
      <c r="S36" s="110"/>
      <c r="T36" s="110"/>
      <c r="U36" s="110"/>
      <c r="V36" s="110"/>
    </row>
    <row r="37" spans="2:31" ht="15" thickBot="1" x14ac:dyDescent="0.35">
      <c r="B37" s="139"/>
      <c r="C37" s="585" t="s">
        <v>26</v>
      </c>
      <c r="D37" s="585"/>
      <c r="E37" s="569">
        <f>'Primary Site'!P50</f>
        <v>162378.07700000005</v>
      </c>
      <c r="F37" s="569">
        <f>'Primary Site'!V50</f>
        <v>333567.68841</v>
      </c>
      <c r="G37" s="569">
        <f>'Primary Site'!AB50</f>
        <v>351252.71657820005</v>
      </c>
      <c r="H37" s="569">
        <f>'Primary Site'!AH50</f>
        <v>279126.53224592406</v>
      </c>
      <c r="I37" s="569">
        <f>'Primary Site'!AN50</f>
        <v>0</v>
      </c>
      <c r="J37" s="563">
        <f>'Primary Site'!AO50</f>
        <v>1126325.0142341242</v>
      </c>
      <c r="K37" s="110"/>
      <c r="L37" s="116" t="s">
        <v>23</v>
      </c>
      <c r="M37" s="491">
        <f>Penn!K84</f>
        <v>0</v>
      </c>
      <c r="N37" s="491">
        <f>Penn!Q84</f>
        <v>0</v>
      </c>
      <c r="O37" s="491">
        <f>Penn!W84</f>
        <v>0</v>
      </c>
      <c r="P37" s="491">
        <f>Penn!AC84</f>
        <v>0</v>
      </c>
      <c r="Q37" s="492">
        <f>Penn!AI84</f>
        <v>0</v>
      </c>
      <c r="R37" s="110"/>
      <c r="S37" s="110"/>
      <c r="T37" s="110"/>
      <c r="U37" s="110"/>
      <c r="V37" s="110"/>
    </row>
    <row r="38" spans="2:31" ht="15" thickBot="1" x14ac:dyDescent="0.35">
      <c r="B38" s="141" t="s">
        <v>27</v>
      </c>
      <c r="C38" s="135"/>
      <c r="D38" s="130"/>
      <c r="E38" s="570">
        <v>1</v>
      </c>
      <c r="F38" s="570">
        <v>2</v>
      </c>
      <c r="G38" s="570">
        <v>3</v>
      </c>
      <c r="H38" s="570">
        <v>4</v>
      </c>
      <c r="I38" s="570">
        <v>5</v>
      </c>
      <c r="J38" s="564" t="s">
        <v>11</v>
      </c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</row>
    <row r="39" spans="2:31" x14ac:dyDescent="0.3">
      <c r="B39" s="144"/>
      <c r="C39" s="596" t="s">
        <v>28</v>
      </c>
      <c r="D39" s="596"/>
      <c r="E39" s="571">
        <f>'Primary Site'!P58</f>
        <v>5000</v>
      </c>
      <c r="F39" s="571">
        <f>'Primary Site'!V58</f>
        <v>8000</v>
      </c>
      <c r="G39" s="571">
        <f>'Primary Site'!AB58</f>
        <v>9500</v>
      </c>
      <c r="H39" s="571">
        <f>'Primary Site'!AH58</f>
        <v>9500</v>
      </c>
      <c r="I39" s="571">
        <f>'Primary Site'!AN58</f>
        <v>0</v>
      </c>
      <c r="J39" s="565">
        <f>'Primary Site'!AO58</f>
        <v>32000</v>
      </c>
      <c r="K39" s="110"/>
      <c r="L39" s="122" t="s">
        <v>12</v>
      </c>
      <c r="M39" s="623" t="s">
        <v>29</v>
      </c>
      <c r="N39" s="624"/>
      <c r="O39" s="624"/>
      <c r="P39" s="624"/>
      <c r="Q39" s="625"/>
      <c r="R39" s="110"/>
      <c r="S39" s="110"/>
      <c r="T39" s="110"/>
      <c r="U39" s="110"/>
      <c r="V39" s="110"/>
    </row>
    <row r="40" spans="2:31" x14ac:dyDescent="0.3">
      <c r="B40" s="139"/>
      <c r="C40" s="596" t="s">
        <v>30</v>
      </c>
      <c r="D40" s="596"/>
      <c r="E40" s="571">
        <f>'Primary Site'!P94</f>
        <v>0</v>
      </c>
      <c r="F40" s="571">
        <f>'Primary Site'!V94</f>
        <v>0</v>
      </c>
      <c r="G40" s="571">
        <f>'Primary Site'!AB94</f>
        <v>0</v>
      </c>
      <c r="H40" s="571">
        <f>'Primary Site'!AH94</f>
        <v>0</v>
      </c>
      <c r="I40" s="571">
        <f>'Primary Site'!AN94</f>
        <v>0</v>
      </c>
      <c r="J40" s="565">
        <f>'Primary Site'!AO94</f>
        <v>0</v>
      </c>
      <c r="K40" s="110"/>
      <c r="L40" s="123" t="s">
        <v>14</v>
      </c>
      <c r="M40" s="607" t="str">
        <f>'Pitt Foundation'!B3</f>
        <v>VanCott</v>
      </c>
      <c r="N40" s="608"/>
      <c r="O40" s="608"/>
      <c r="P40" s="608"/>
      <c r="Q40" s="609"/>
      <c r="R40" s="110"/>
      <c r="S40" s="110"/>
      <c r="T40" s="110"/>
      <c r="U40" s="110"/>
      <c r="V40" s="110"/>
    </row>
    <row r="41" spans="2:31" x14ac:dyDescent="0.3">
      <c r="B41" s="139"/>
      <c r="C41" s="136" t="s">
        <v>31</v>
      </c>
      <c r="D41" s="136"/>
      <c r="E41" s="572">
        <f>M27+M37+M47</f>
        <v>49395.205000000002</v>
      </c>
      <c r="F41" s="572">
        <f>N27+N37+N47</f>
        <v>80151.805340000006</v>
      </c>
      <c r="G41" s="572">
        <f>O27+O37+O47</f>
        <v>325512.50958680001</v>
      </c>
      <c r="H41" s="572">
        <f>P27+P37+P47</f>
        <v>289502.64227853605</v>
      </c>
      <c r="I41" s="572">
        <f>Q27+Q37+Q47</f>
        <v>0</v>
      </c>
      <c r="J41" s="566">
        <f>SUM(E41:I41)</f>
        <v>744562.16220533615</v>
      </c>
      <c r="K41" s="110"/>
      <c r="L41" s="123" t="s">
        <v>15</v>
      </c>
      <c r="M41" s="607">
        <f>'Pitt Foundation'!B6</f>
        <v>4</v>
      </c>
      <c r="N41" s="608"/>
      <c r="O41" s="608"/>
      <c r="P41" s="608"/>
      <c r="Q41" s="609"/>
      <c r="R41" s="110"/>
      <c r="S41" s="110"/>
      <c r="T41" s="110"/>
      <c r="U41" s="110"/>
      <c r="V41" s="110"/>
    </row>
    <row r="42" spans="2:31" x14ac:dyDescent="0.3">
      <c r="B42" s="139"/>
      <c r="C42" s="585" t="s">
        <v>32</v>
      </c>
      <c r="D42" s="585"/>
      <c r="E42" s="569">
        <f>'Primary Site'!K98</f>
        <v>129025.205</v>
      </c>
      <c r="F42" s="569">
        <f>'Primary Site'!Q98</f>
        <v>163422.80534000002</v>
      </c>
      <c r="G42" s="569">
        <f>'Primary Site'!W98</f>
        <v>415065.50958680001</v>
      </c>
      <c r="H42" s="569">
        <f>'Primary Site'!AC98</f>
        <v>311535.64227853599</v>
      </c>
      <c r="I42" s="569">
        <f>'Primary Site'!AI98</f>
        <v>0</v>
      </c>
      <c r="J42" s="563">
        <f>'Primary Site'!AO98</f>
        <v>1019049.162205336</v>
      </c>
      <c r="K42" s="110"/>
      <c r="L42" s="124"/>
      <c r="M42" s="194">
        <v>1</v>
      </c>
      <c r="N42" s="194">
        <v>2</v>
      </c>
      <c r="O42" s="194">
        <v>3</v>
      </c>
      <c r="P42" s="194">
        <v>4</v>
      </c>
      <c r="Q42" s="195">
        <v>5</v>
      </c>
      <c r="R42" s="195" t="s">
        <v>16</v>
      </c>
      <c r="S42" s="110"/>
      <c r="T42" s="110"/>
      <c r="U42" s="110"/>
      <c r="V42" s="110"/>
    </row>
    <row r="43" spans="2:31" x14ac:dyDescent="0.3">
      <c r="B43" s="139"/>
      <c r="C43" s="153"/>
      <c r="D43" s="153"/>
      <c r="E43" s="573"/>
      <c r="F43" s="573"/>
      <c r="G43" s="573"/>
      <c r="H43" s="573"/>
      <c r="I43" s="573"/>
      <c r="J43" s="567"/>
      <c r="K43" s="110"/>
      <c r="L43" s="123" t="s">
        <v>17</v>
      </c>
      <c r="M43" s="575">
        <f>'Pitt Foundation'!K43</f>
        <v>6053.268</v>
      </c>
      <c r="N43" s="575">
        <f>'Pitt Foundation'!Q43</f>
        <v>15435.833400000001</v>
      </c>
      <c r="O43" s="575">
        <f>'Pitt Foundation'!W43</f>
        <v>15744.550068</v>
      </c>
      <c r="P43" s="575">
        <f>'Pitt Foundation'!AC43</f>
        <v>16059.441069360002</v>
      </c>
      <c r="Q43" s="576">
        <f>'Pitt Foundation'!AI43</f>
        <v>0</v>
      </c>
      <c r="R43" s="576">
        <f>SUM(M43:Q43)</f>
        <v>53293.092537359997</v>
      </c>
      <c r="S43" s="110"/>
      <c r="T43" s="110"/>
      <c r="U43" s="110"/>
      <c r="V43" s="110"/>
    </row>
    <row r="44" spans="2:31" x14ac:dyDescent="0.3">
      <c r="B44" s="589" t="s">
        <v>33</v>
      </c>
      <c r="C44" s="590"/>
      <c r="D44" s="130"/>
      <c r="E44" s="570">
        <v>1</v>
      </c>
      <c r="F44" s="570">
        <v>2</v>
      </c>
      <c r="G44" s="570">
        <v>3</v>
      </c>
      <c r="H44" s="570">
        <v>4</v>
      </c>
      <c r="I44" s="570">
        <v>5</v>
      </c>
      <c r="J44" s="564" t="s">
        <v>11</v>
      </c>
      <c r="K44" s="110"/>
      <c r="L44" s="123" t="s">
        <v>19</v>
      </c>
      <c r="M44" s="575">
        <f>'Pitt Foundation'!K80</f>
        <v>0</v>
      </c>
      <c r="N44" s="575">
        <f>'Pitt Foundation'!Q80</f>
        <v>0</v>
      </c>
      <c r="O44" s="575">
        <f>'Pitt Foundation'!W80</f>
        <v>0</v>
      </c>
      <c r="P44" s="575">
        <f>'Pitt Foundation'!AC80</f>
        <v>0</v>
      </c>
      <c r="Q44" s="576">
        <f>'Pitt Foundation'!AI80</f>
        <v>0</v>
      </c>
      <c r="R44" s="576">
        <f t="shared" ref="R44:R47" si="0">SUM(M44:Q44)</f>
        <v>0</v>
      </c>
      <c r="S44" s="110"/>
      <c r="T44" s="110"/>
      <c r="U44" s="110"/>
      <c r="V44" s="110"/>
    </row>
    <row r="45" spans="2:31" x14ac:dyDescent="0.3">
      <c r="B45" s="139"/>
      <c r="C45" s="585" t="s">
        <v>34</v>
      </c>
      <c r="D45" s="585"/>
      <c r="E45" s="571">
        <f>'Primary Site'!K99</f>
        <v>404753.28200000006</v>
      </c>
      <c r="F45" s="571">
        <f>'Primary Site'!Q99</f>
        <v>696340.49374999991</v>
      </c>
      <c r="G45" s="571">
        <f>'Primary Site'!W99</f>
        <v>971818.226165</v>
      </c>
      <c r="H45" s="571">
        <f>'Primary Site'!AC99</f>
        <v>682228.17452445999</v>
      </c>
      <c r="I45" s="571">
        <f>'Primary Site'!AI99</f>
        <v>0</v>
      </c>
      <c r="J45" s="565">
        <f>'Primary Site'!AO99</f>
        <v>2755140.1764394599</v>
      </c>
      <c r="K45" s="110"/>
      <c r="L45" s="123" t="s">
        <v>21</v>
      </c>
      <c r="M45" s="575">
        <f>'Pitt Foundation'!K81</f>
        <v>6053.268</v>
      </c>
      <c r="N45" s="575">
        <f>'Pitt Foundation'!Q81</f>
        <v>15435.833400000001</v>
      </c>
      <c r="O45" s="575">
        <f>'Pitt Foundation'!W81</f>
        <v>15744.550068</v>
      </c>
      <c r="P45" s="575">
        <f>'Pitt Foundation'!AC81</f>
        <v>16059.441069360002</v>
      </c>
      <c r="Q45" s="576">
        <f>'Pitt Foundation'!AI81</f>
        <v>0</v>
      </c>
      <c r="R45" s="576">
        <f t="shared" si="0"/>
        <v>53293.092537359997</v>
      </c>
      <c r="S45" s="110"/>
      <c r="T45" s="110"/>
      <c r="U45" s="110"/>
      <c r="V45" s="110"/>
    </row>
    <row r="46" spans="2:31" x14ac:dyDescent="0.3">
      <c r="B46" s="139"/>
      <c r="C46" s="585" t="s">
        <v>35</v>
      </c>
      <c r="D46" s="585"/>
      <c r="E46" s="571">
        <f>'Primary Site'!K101</f>
        <v>63437</v>
      </c>
      <c r="F46" s="571">
        <f>'Primary Site'!Q101</f>
        <v>104752</v>
      </c>
      <c r="G46" s="571">
        <f>'Primary Site'!W101</f>
        <v>109872</v>
      </c>
      <c r="H46" s="571">
        <f>'Primary Site'!AC101</f>
        <v>66763</v>
      </c>
      <c r="I46" s="571">
        <f>'Primary Site'!AI101</f>
        <v>0</v>
      </c>
      <c r="J46" s="565">
        <f>'Primary Site'!AO101</f>
        <v>344824</v>
      </c>
      <c r="K46" s="110"/>
      <c r="L46" s="123" t="s">
        <v>22</v>
      </c>
      <c r="M46" s="575">
        <f>'Pitt Foundation'!K83</f>
        <v>3026.634</v>
      </c>
      <c r="N46" s="575">
        <f>'Pitt Foundation'!Q83</f>
        <v>7717.9167000000007</v>
      </c>
      <c r="O46" s="575">
        <f>'Pitt Foundation'!W83</f>
        <v>7872.2750340000002</v>
      </c>
      <c r="P46" s="575">
        <f>'Pitt Foundation'!AC83</f>
        <v>8029.720534680001</v>
      </c>
      <c r="Q46" s="576">
        <f>'Pitt Foundation'!AI83</f>
        <v>0</v>
      </c>
      <c r="R46" s="576">
        <f t="shared" si="0"/>
        <v>26646.546268679998</v>
      </c>
      <c r="S46" s="110"/>
      <c r="T46" s="110"/>
      <c r="U46" s="110"/>
      <c r="V46" s="110"/>
    </row>
    <row r="47" spans="2:31" ht="15" thickBot="1" x14ac:dyDescent="0.35">
      <c r="B47" s="145"/>
      <c r="C47" s="586" t="s">
        <v>33</v>
      </c>
      <c r="D47" s="586"/>
      <c r="E47" s="574">
        <f>'Primary Site'!K102</f>
        <v>468190.28200000006</v>
      </c>
      <c r="F47" s="574">
        <f>'Primary Site'!Q102</f>
        <v>801092.49374999991</v>
      </c>
      <c r="G47" s="574">
        <f>'Primary Site'!W102</f>
        <v>1081690.2261649999</v>
      </c>
      <c r="H47" s="574">
        <f>'Primary Site'!AC102</f>
        <v>748991.17452445999</v>
      </c>
      <c r="I47" s="574">
        <f>'Primary Site'!AI102</f>
        <v>0</v>
      </c>
      <c r="J47" s="568">
        <f>'Primary Site'!AO102</f>
        <v>3099964.1764394599</v>
      </c>
      <c r="K47" s="110"/>
      <c r="L47" s="125" t="s">
        <v>23</v>
      </c>
      <c r="M47" s="577">
        <f>'Pitt Foundation'!K84</f>
        <v>9079.902</v>
      </c>
      <c r="N47" s="577">
        <f>'Pitt Foundation'!Q84</f>
        <v>23153.750100000001</v>
      </c>
      <c r="O47" s="577">
        <f>'Pitt Foundation'!W84</f>
        <v>23616.825102000003</v>
      </c>
      <c r="P47" s="577">
        <f>'Pitt Foundation'!AC84</f>
        <v>24089.161604040004</v>
      </c>
      <c r="Q47" s="578">
        <f>'Pitt Foundation'!AI84</f>
        <v>0</v>
      </c>
      <c r="R47" s="578">
        <f t="shared" si="0"/>
        <v>79939.638806040006</v>
      </c>
      <c r="S47" s="110"/>
      <c r="T47" s="110"/>
      <c r="U47" s="110"/>
      <c r="V47" s="110"/>
    </row>
    <row r="48" spans="2:31" x14ac:dyDescent="0.3"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</row>
    <row r="49" spans="2:22" x14ac:dyDescent="0.3"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</row>
    <row r="50" spans="2:22" s="110" customFormat="1" x14ac:dyDescent="0.3"/>
    <row r="51" spans="2:22" s="110" customFormat="1" x14ac:dyDescent="0.3"/>
    <row r="52" spans="2:22" s="110" customFormat="1" x14ac:dyDescent="0.3"/>
    <row r="53" spans="2:22" s="110" customFormat="1" x14ac:dyDescent="0.3"/>
    <row r="54" spans="2:22" s="110" customFormat="1" x14ac:dyDescent="0.3"/>
    <row r="55" spans="2:22" s="110" customFormat="1" x14ac:dyDescent="0.3"/>
    <row r="56" spans="2:22" s="110" customFormat="1" x14ac:dyDescent="0.3"/>
    <row r="57" spans="2:22" s="110" customFormat="1" x14ac:dyDescent="0.3"/>
    <row r="58" spans="2:22" s="110" customFormat="1" x14ac:dyDescent="0.3"/>
    <row r="59" spans="2:22" s="110" customFormat="1" x14ac:dyDescent="0.3"/>
    <row r="60" spans="2:22" s="110" customFormat="1" x14ac:dyDescent="0.3">
      <c r="V60" s="110">
        <v>146400</v>
      </c>
    </row>
    <row r="61" spans="2:22" s="110" customFormat="1" x14ac:dyDescent="0.3"/>
    <row r="62" spans="2:22" s="110" customFormat="1" x14ac:dyDescent="0.3"/>
    <row r="63" spans="2:22" s="110" customFormat="1" x14ac:dyDescent="0.3"/>
    <row r="64" spans="2:22" s="110" customFormat="1" x14ac:dyDescent="0.3"/>
    <row r="65" spans="11:34" s="110" customFormat="1" x14ac:dyDescent="0.3">
      <c r="P65" s="110">
        <v>5000</v>
      </c>
    </row>
    <row r="66" spans="11:34" s="110" customFormat="1" x14ac:dyDescent="0.3">
      <c r="P66" s="110">
        <v>500</v>
      </c>
      <c r="V66" s="110">
        <v>500</v>
      </c>
      <c r="AB66" s="110">
        <v>500</v>
      </c>
      <c r="AH66" s="110">
        <v>500</v>
      </c>
    </row>
    <row r="67" spans="11:34" s="110" customFormat="1" x14ac:dyDescent="0.3"/>
    <row r="68" spans="11:34" s="110" customFormat="1" x14ac:dyDescent="0.3"/>
    <row r="69" spans="11:34" s="110" customFormat="1" x14ac:dyDescent="0.3"/>
    <row r="70" spans="11:34" s="110" customFormat="1" x14ac:dyDescent="0.3"/>
    <row r="71" spans="11:34" s="110" customFormat="1" x14ac:dyDescent="0.3"/>
    <row r="72" spans="11:34" s="110" customFormat="1" x14ac:dyDescent="0.3"/>
    <row r="73" spans="11:34" s="110" customFormat="1" x14ac:dyDescent="0.3">
      <c r="K73" s="110" t="s">
        <v>36</v>
      </c>
    </row>
    <row r="74" spans="11:34" s="110" customFormat="1" x14ac:dyDescent="0.3"/>
    <row r="75" spans="11:34" s="110" customFormat="1" x14ac:dyDescent="0.3"/>
    <row r="76" spans="11:34" s="110" customFormat="1" x14ac:dyDescent="0.3"/>
    <row r="77" spans="11:34" s="110" customFormat="1" x14ac:dyDescent="0.3"/>
    <row r="78" spans="11:34" s="110" customFormat="1" x14ac:dyDescent="0.3"/>
    <row r="79" spans="11:34" s="110" customFormat="1" x14ac:dyDescent="0.3"/>
    <row r="80" spans="11:34" s="110" customFormat="1" x14ac:dyDescent="0.3"/>
    <row r="81" s="110" customFormat="1" x14ac:dyDescent="0.3"/>
    <row r="82" s="110" customFormat="1" x14ac:dyDescent="0.3"/>
    <row r="83" s="110" customFormat="1" x14ac:dyDescent="0.3"/>
    <row r="84" s="110" customFormat="1" x14ac:dyDescent="0.3"/>
    <row r="85" s="110" customFormat="1" x14ac:dyDescent="0.3"/>
    <row r="86" s="110" customFormat="1" x14ac:dyDescent="0.3"/>
    <row r="87" s="110" customFormat="1" x14ac:dyDescent="0.3"/>
    <row r="88" s="110" customFormat="1" x14ac:dyDescent="0.3"/>
    <row r="89" s="110" customFormat="1" x14ac:dyDescent="0.3"/>
    <row r="90" s="110" customFormat="1" x14ac:dyDescent="0.3"/>
    <row r="91" s="110" customFormat="1" x14ac:dyDescent="0.3"/>
    <row r="92" s="110" customFormat="1" x14ac:dyDescent="0.3"/>
    <row r="93" s="110" customFormat="1" x14ac:dyDescent="0.3"/>
    <row r="94" s="110" customFormat="1" x14ac:dyDescent="0.3"/>
    <row r="95" s="110" customFormat="1" x14ac:dyDescent="0.3"/>
    <row r="96" s="110" customFormat="1" x14ac:dyDescent="0.3"/>
    <row r="97" s="110" customFormat="1" x14ac:dyDescent="0.3"/>
    <row r="98" s="110" customFormat="1" x14ac:dyDescent="0.3"/>
    <row r="99" s="110" customFormat="1" x14ac:dyDescent="0.3"/>
    <row r="100" s="110" customFormat="1" x14ac:dyDescent="0.3"/>
    <row r="101" s="110" customFormat="1" x14ac:dyDescent="0.3"/>
    <row r="102" s="110" customFormat="1" x14ac:dyDescent="0.3"/>
    <row r="103" s="110" customFormat="1" x14ac:dyDescent="0.3"/>
    <row r="104" s="110" customFormat="1" x14ac:dyDescent="0.3"/>
    <row r="105" s="110" customFormat="1" x14ac:dyDescent="0.3"/>
    <row r="106" s="110" customFormat="1" x14ac:dyDescent="0.3"/>
    <row r="107" s="110" customFormat="1" x14ac:dyDescent="0.3"/>
    <row r="108" s="110" customFormat="1" x14ac:dyDescent="0.3"/>
    <row r="109" s="110" customFormat="1" x14ac:dyDescent="0.3"/>
    <row r="110" s="110" customFormat="1" x14ac:dyDescent="0.3"/>
    <row r="111" s="110" customFormat="1" x14ac:dyDescent="0.3"/>
    <row r="112" s="110" customFormat="1" x14ac:dyDescent="0.3"/>
    <row r="113" s="110" customFormat="1" x14ac:dyDescent="0.3"/>
    <row r="114" s="110" customFormat="1" x14ac:dyDescent="0.3"/>
    <row r="115" s="110" customFormat="1" x14ac:dyDescent="0.3"/>
    <row r="116" s="110" customFormat="1" x14ac:dyDescent="0.3"/>
    <row r="117" s="110" customFormat="1" x14ac:dyDescent="0.3"/>
    <row r="118" s="110" customFormat="1" x14ac:dyDescent="0.3"/>
    <row r="119" s="110" customFormat="1" x14ac:dyDescent="0.3"/>
    <row r="120" s="110" customFormat="1" x14ac:dyDescent="0.3"/>
    <row r="121" s="110" customFormat="1" x14ac:dyDescent="0.3"/>
    <row r="122" s="110" customFormat="1" x14ac:dyDescent="0.3"/>
    <row r="123" s="110" customFormat="1" x14ac:dyDescent="0.3"/>
    <row r="124" s="110" customFormat="1" x14ac:dyDescent="0.3"/>
    <row r="125" s="110" customFormat="1" x14ac:dyDescent="0.3"/>
    <row r="126" s="110" customFormat="1" x14ac:dyDescent="0.3"/>
    <row r="127" s="110" customFormat="1" x14ac:dyDescent="0.3"/>
    <row r="128" s="110" customFormat="1" x14ac:dyDescent="0.3"/>
    <row r="129" s="110" customFormat="1" x14ac:dyDescent="0.3"/>
    <row r="130" s="110" customFormat="1" x14ac:dyDescent="0.3"/>
    <row r="131" s="110" customFormat="1" x14ac:dyDescent="0.3"/>
    <row r="132" s="110" customFormat="1" x14ac:dyDescent="0.3"/>
    <row r="133" s="110" customFormat="1" x14ac:dyDescent="0.3"/>
    <row r="134" s="110" customFormat="1" x14ac:dyDescent="0.3"/>
    <row r="135" s="110" customFormat="1" x14ac:dyDescent="0.3"/>
    <row r="136" s="110" customFormat="1" x14ac:dyDescent="0.3"/>
    <row r="137" s="110" customFormat="1" x14ac:dyDescent="0.3"/>
    <row r="138" s="110" customFormat="1" x14ac:dyDescent="0.3"/>
    <row r="139" s="110" customFormat="1" x14ac:dyDescent="0.3"/>
    <row r="140" s="110" customFormat="1" x14ac:dyDescent="0.3"/>
    <row r="141" s="110" customFormat="1" x14ac:dyDescent="0.3"/>
    <row r="142" s="110" customFormat="1" x14ac:dyDescent="0.3"/>
    <row r="143" s="110" customFormat="1" x14ac:dyDescent="0.3"/>
    <row r="144" s="110" customFormat="1" x14ac:dyDescent="0.3"/>
    <row r="145" s="110" customFormat="1" x14ac:dyDescent="0.3"/>
    <row r="146" s="110" customFormat="1" x14ac:dyDescent="0.3"/>
    <row r="147" s="110" customFormat="1" x14ac:dyDescent="0.3"/>
    <row r="148" s="110" customFormat="1" x14ac:dyDescent="0.3"/>
    <row r="149" s="110" customFormat="1" x14ac:dyDescent="0.3"/>
    <row r="150" s="110" customFormat="1" x14ac:dyDescent="0.3"/>
    <row r="151" s="110" customFormat="1" x14ac:dyDescent="0.3"/>
    <row r="152" s="110" customFormat="1" x14ac:dyDescent="0.3"/>
    <row r="153" s="110" customFormat="1" x14ac:dyDescent="0.3"/>
    <row r="154" s="110" customFormat="1" x14ac:dyDescent="0.3"/>
    <row r="155" s="110" customFormat="1" x14ac:dyDescent="0.3"/>
    <row r="156" s="110" customFormat="1" x14ac:dyDescent="0.3"/>
    <row r="157" s="110" customFormat="1" x14ac:dyDescent="0.3"/>
    <row r="158" s="110" customFormat="1" x14ac:dyDescent="0.3"/>
    <row r="159" s="110" customFormat="1" x14ac:dyDescent="0.3"/>
    <row r="160" s="110" customFormat="1" x14ac:dyDescent="0.3"/>
    <row r="161" s="110" customFormat="1" x14ac:dyDescent="0.3"/>
    <row r="162" s="110" customFormat="1" x14ac:dyDescent="0.3"/>
    <row r="163" s="110" customFormat="1" x14ac:dyDescent="0.3"/>
    <row r="164" s="110" customFormat="1" x14ac:dyDescent="0.3"/>
    <row r="165" s="110" customFormat="1" x14ac:dyDescent="0.3"/>
    <row r="166" s="110" customFormat="1" x14ac:dyDescent="0.3"/>
    <row r="167" s="110" customFormat="1" x14ac:dyDescent="0.3"/>
    <row r="168" s="110" customFormat="1" x14ac:dyDescent="0.3"/>
    <row r="169" s="110" customFormat="1" x14ac:dyDescent="0.3"/>
    <row r="170" s="110" customFormat="1" x14ac:dyDescent="0.3"/>
    <row r="171" s="110" customFormat="1" x14ac:dyDescent="0.3"/>
    <row r="172" s="110" customFormat="1" x14ac:dyDescent="0.3"/>
    <row r="173" s="110" customFormat="1" x14ac:dyDescent="0.3"/>
    <row r="174" s="110" customFormat="1" x14ac:dyDescent="0.3"/>
    <row r="175" s="110" customFormat="1" x14ac:dyDescent="0.3"/>
    <row r="176" s="110" customFormat="1" x14ac:dyDescent="0.3"/>
    <row r="177" s="110" customFormat="1" x14ac:dyDescent="0.3"/>
    <row r="178" s="110" customFormat="1" x14ac:dyDescent="0.3"/>
    <row r="179" s="110" customFormat="1" x14ac:dyDescent="0.3"/>
    <row r="180" s="110" customFormat="1" x14ac:dyDescent="0.3"/>
    <row r="181" s="110" customFormat="1" x14ac:dyDescent="0.3"/>
    <row r="182" s="110" customFormat="1" x14ac:dyDescent="0.3"/>
    <row r="183" s="110" customFormat="1" x14ac:dyDescent="0.3"/>
    <row r="184" s="110" customFormat="1" x14ac:dyDescent="0.3"/>
    <row r="185" s="110" customFormat="1" x14ac:dyDescent="0.3"/>
    <row r="186" s="110" customFormat="1" x14ac:dyDescent="0.3"/>
    <row r="187" s="110" customFormat="1" x14ac:dyDescent="0.3"/>
    <row r="188" s="110" customFormat="1" x14ac:dyDescent="0.3"/>
    <row r="189" s="110" customFormat="1" x14ac:dyDescent="0.3"/>
    <row r="190" s="110" customFormat="1" x14ac:dyDescent="0.3"/>
    <row r="191" s="110" customFormat="1" x14ac:dyDescent="0.3"/>
    <row r="192" s="110" customFormat="1" x14ac:dyDescent="0.3"/>
    <row r="193" s="110" customFormat="1" x14ac:dyDescent="0.3"/>
    <row r="194" s="110" customFormat="1" x14ac:dyDescent="0.3"/>
    <row r="195" s="110" customFormat="1" x14ac:dyDescent="0.3"/>
    <row r="196" s="110" customFormat="1" x14ac:dyDescent="0.3"/>
    <row r="197" s="110" customFormat="1" x14ac:dyDescent="0.3"/>
    <row r="198" s="110" customFormat="1" x14ac:dyDescent="0.3"/>
    <row r="199" s="110" customFormat="1" x14ac:dyDescent="0.3"/>
    <row r="200" s="110" customFormat="1" x14ac:dyDescent="0.3"/>
    <row r="201" s="110" customFormat="1" x14ac:dyDescent="0.3"/>
    <row r="202" s="110" customFormat="1" x14ac:dyDescent="0.3"/>
    <row r="203" s="110" customFormat="1" x14ac:dyDescent="0.3"/>
    <row r="204" s="110" customFormat="1" x14ac:dyDescent="0.3"/>
    <row r="205" s="110" customFormat="1" x14ac:dyDescent="0.3"/>
    <row r="206" s="110" customFormat="1" x14ac:dyDescent="0.3"/>
    <row r="207" s="110" customFormat="1" x14ac:dyDescent="0.3"/>
    <row r="208" s="110" customFormat="1" x14ac:dyDescent="0.3"/>
    <row r="209" s="110" customFormat="1" x14ac:dyDescent="0.3"/>
    <row r="210" s="110" customFormat="1" x14ac:dyDescent="0.3"/>
    <row r="211" s="110" customFormat="1" x14ac:dyDescent="0.3"/>
    <row r="212" s="110" customFormat="1" x14ac:dyDescent="0.3"/>
    <row r="213" s="110" customFormat="1" x14ac:dyDescent="0.3"/>
    <row r="214" s="110" customFormat="1" x14ac:dyDescent="0.3"/>
    <row r="215" s="110" customFormat="1" x14ac:dyDescent="0.3"/>
    <row r="216" s="110" customFormat="1" x14ac:dyDescent="0.3"/>
    <row r="217" s="110" customFormat="1" x14ac:dyDescent="0.3"/>
    <row r="218" s="110" customFormat="1" x14ac:dyDescent="0.3"/>
    <row r="219" s="110" customFormat="1" x14ac:dyDescent="0.3"/>
    <row r="220" s="110" customFormat="1" x14ac:dyDescent="0.3"/>
    <row r="221" s="110" customFormat="1" x14ac:dyDescent="0.3"/>
    <row r="222" s="110" customFormat="1" x14ac:dyDescent="0.3"/>
    <row r="223" s="110" customFormat="1" x14ac:dyDescent="0.3"/>
    <row r="224" s="110" customFormat="1" x14ac:dyDescent="0.3"/>
    <row r="225" s="110" customFormat="1" x14ac:dyDescent="0.3"/>
    <row r="226" s="110" customFormat="1" x14ac:dyDescent="0.3"/>
    <row r="227" s="110" customFormat="1" x14ac:dyDescent="0.3"/>
    <row r="228" s="110" customFormat="1" x14ac:dyDescent="0.3"/>
    <row r="229" s="110" customFormat="1" x14ac:dyDescent="0.3"/>
    <row r="230" s="110" customFormat="1" x14ac:dyDescent="0.3"/>
    <row r="231" s="110" customFormat="1" x14ac:dyDescent="0.3"/>
    <row r="232" s="110" customFormat="1" x14ac:dyDescent="0.3"/>
    <row r="233" s="110" customFormat="1" x14ac:dyDescent="0.3"/>
    <row r="234" s="110" customFormat="1" x14ac:dyDescent="0.3"/>
    <row r="235" s="110" customFormat="1" x14ac:dyDescent="0.3"/>
    <row r="236" s="110" customFormat="1" x14ac:dyDescent="0.3"/>
    <row r="237" s="110" customFormat="1" x14ac:dyDescent="0.3"/>
    <row r="238" s="110" customFormat="1" x14ac:dyDescent="0.3"/>
    <row r="239" s="110" customFormat="1" x14ac:dyDescent="0.3"/>
    <row r="240" s="110" customFormat="1" x14ac:dyDescent="0.3"/>
    <row r="241" s="110" customFormat="1" x14ac:dyDescent="0.3"/>
    <row r="242" s="110" customFormat="1" x14ac:dyDescent="0.3"/>
    <row r="243" s="110" customFormat="1" x14ac:dyDescent="0.3"/>
    <row r="244" s="110" customFormat="1" x14ac:dyDescent="0.3"/>
    <row r="245" s="110" customFormat="1" x14ac:dyDescent="0.3"/>
    <row r="246" s="110" customFormat="1" x14ac:dyDescent="0.3"/>
    <row r="247" s="110" customFormat="1" x14ac:dyDescent="0.3"/>
    <row r="248" s="110" customFormat="1" x14ac:dyDescent="0.3"/>
    <row r="249" s="110" customFormat="1" x14ac:dyDescent="0.3"/>
    <row r="250" s="110" customFormat="1" x14ac:dyDescent="0.3"/>
    <row r="251" s="110" customFormat="1" x14ac:dyDescent="0.3"/>
    <row r="252" s="110" customFormat="1" x14ac:dyDescent="0.3"/>
    <row r="253" s="110" customFormat="1" x14ac:dyDescent="0.3"/>
    <row r="254" s="110" customFormat="1" x14ac:dyDescent="0.3"/>
    <row r="255" s="110" customFormat="1" x14ac:dyDescent="0.3"/>
    <row r="256" s="110" customFormat="1" x14ac:dyDescent="0.3"/>
    <row r="257" s="110" customFormat="1" x14ac:dyDescent="0.3"/>
    <row r="258" s="110" customFormat="1" x14ac:dyDescent="0.3"/>
    <row r="259" s="110" customFormat="1" x14ac:dyDescent="0.3"/>
    <row r="260" s="110" customFormat="1" x14ac:dyDescent="0.3"/>
    <row r="261" s="110" customFormat="1" x14ac:dyDescent="0.3"/>
    <row r="262" s="110" customFormat="1" x14ac:dyDescent="0.3"/>
    <row r="263" s="110" customFormat="1" x14ac:dyDescent="0.3"/>
    <row r="264" s="110" customFormat="1" x14ac:dyDescent="0.3"/>
    <row r="265" s="110" customFormat="1" x14ac:dyDescent="0.3"/>
    <row r="266" s="110" customFormat="1" x14ac:dyDescent="0.3"/>
    <row r="267" s="110" customFormat="1" x14ac:dyDescent="0.3"/>
    <row r="268" s="110" customFormat="1" x14ac:dyDescent="0.3"/>
    <row r="269" s="110" customFormat="1" x14ac:dyDescent="0.3"/>
    <row r="270" s="110" customFormat="1" x14ac:dyDescent="0.3"/>
    <row r="271" s="110" customFormat="1" x14ac:dyDescent="0.3"/>
    <row r="272" s="110" customFormat="1" x14ac:dyDescent="0.3"/>
    <row r="273" s="110" customFormat="1" x14ac:dyDescent="0.3"/>
    <row r="274" s="110" customFormat="1" x14ac:dyDescent="0.3"/>
    <row r="275" s="110" customFormat="1" x14ac:dyDescent="0.3"/>
    <row r="276" s="110" customFormat="1" x14ac:dyDescent="0.3"/>
    <row r="277" s="110" customFormat="1" x14ac:dyDescent="0.3"/>
    <row r="278" s="110" customFormat="1" x14ac:dyDescent="0.3"/>
    <row r="279" s="110" customFormat="1" x14ac:dyDescent="0.3"/>
    <row r="280" s="110" customFormat="1" x14ac:dyDescent="0.3"/>
    <row r="281" s="110" customFormat="1" x14ac:dyDescent="0.3"/>
    <row r="282" s="110" customFormat="1" x14ac:dyDescent="0.3"/>
    <row r="283" s="110" customFormat="1" x14ac:dyDescent="0.3"/>
    <row r="284" s="110" customFormat="1" x14ac:dyDescent="0.3"/>
    <row r="285" s="110" customFormat="1" x14ac:dyDescent="0.3"/>
    <row r="286" s="110" customFormat="1" x14ac:dyDescent="0.3"/>
    <row r="287" s="110" customFormat="1" x14ac:dyDescent="0.3"/>
    <row r="288" s="110" customFormat="1" x14ac:dyDescent="0.3"/>
    <row r="289" spans="2:17" s="110" customFormat="1" x14ac:dyDescent="0.3"/>
    <row r="290" spans="2:17" s="110" customFormat="1" x14ac:dyDescent="0.3"/>
    <row r="291" spans="2:17" s="110" customFormat="1" x14ac:dyDescent="0.3"/>
    <row r="292" spans="2:17" s="110" customFormat="1" x14ac:dyDescent="0.3"/>
    <row r="293" spans="2:17" s="110" customFormat="1" x14ac:dyDescent="0.3"/>
    <row r="294" spans="2:17" s="110" customFormat="1" x14ac:dyDescent="0.3"/>
    <row r="295" spans="2:17" s="110" customFormat="1" x14ac:dyDescent="0.3"/>
    <row r="296" spans="2:17" s="110" customFormat="1" x14ac:dyDescent="0.3"/>
    <row r="297" spans="2:17" s="110" customFormat="1" x14ac:dyDescent="0.3"/>
    <row r="298" spans="2:17" s="110" customFormat="1" x14ac:dyDescent="0.3">
      <c r="L298"/>
      <c r="M298"/>
      <c r="N298"/>
      <c r="O298"/>
      <c r="P298"/>
      <c r="Q298"/>
    </row>
    <row r="299" spans="2:17" s="110" customFormat="1" x14ac:dyDescent="0.3">
      <c r="B299"/>
      <c r="C299"/>
      <c r="D299"/>
      <c r="E299"/>
      <c r="F299"/>
      <c r="G299"/>
      <c r="H299"/>
      <c r="I299"/>
      <c r="J299"/>
      <c r="L299"/>
      <c r="M299"/>
      <c r="N299"/>
      <c r="O299"/>
      <c r="P299"/>
      <c r="Q299"/>
    </row>
    <row r="300" spans="2:17" s="110" customFormat="1" x14ac:dyDescent="0.3">
      <c r="B300"/>
      <c r="C300"/>
      <c r="D300"/>
      <c r="E300"/>
      <c r="F300"/>
      <c r="G300"/>
      <c r="H300"/>
      <c r="I300"/>
      <c r="J300"/>
      <c r="L300"/>
      <c r="M300"/>
      <c r="N300"/>
      <c r="O300"/>
      <c r="P300"/>
      <c r="Q300"/>
    </row>
  </sheetData>
  <mergeCells count="34">
    <mergeCell ref="D2:J2"/>
    <mergeCell ref="L3:Q17"/>
    <mergeCell ref="M20:Q20"/>
    <mergeCell ref="M21:Q21"/>
    <mergeCell ref="M39:Q39"/>
    <mergeCell ref="D7:G7"/>
    <mergeCell ref="M29:Q29"/>
    <mergeCell ref="M30:Q30"/>
    <mergeCell ref="M31:Q31"/>
    <mergeCell ref="B3:C3"/>
    <mergeCell ref="B4:C4"/>
    <mergeCell ref="B5:C5"/>
    <mergeCell ref="D5:G5"/>
    <mergeCell ref="M41:Q41"/>
    <mergeCell ref="D4:G4"/>
    <mergeCell ref="D6:G6"/>
    <mergeCell ref="H10:J10"/>
    <mergeCell ref="M40:Q40"/>
    <mergeCell ref="C45:D45"/>
    <mergeCell ref="C46:D46"/>
    <mergeCell ref="C47:D47"/>
    <mergeCell ref="L2:M2"/>
    <mergeCell ref="B44:C44"/>
    <mergeCell ref="M19:Q19"/>
    <mergeCell ref="C36:D36"/>
    <mergeCell ref="C24:D24"/>
    <mergeCell ref="C37:D37"/>
    <mergeCell ref="C42:D42"/>
    <mergeCell ref="C39:D39"/>
    <mergeCell ref="C40:D40"/>
    <mergeCell ref="B6:C6"/>
    <mergeCell ref="B7:C7"/>
    <mergeCell ref="D3:G3"/>
    <mergeCell ref="B2:C2"/>
  </mergeCells>
  <conditionalFormatting sqref="D2:D7 C14:D23 C26:D35">
    <cfRule type="cellIs" dxfId="15" priority="6" operator="equal">
      <formula>0</formula>
    </cfRule>
  </conditionalFormatting>
  <conditionalFormatting sqref="E14:I23 E26:I35">
    <cfRule type="expression" dxfId="14" priority="7">
      <formula>$C14=0</formula>
    </cfRule>
  </conditionalFormatting>
  <conditionalFormatting sqref="L19:Q27">
    <cfRule type="expression" dxfId="13" priority="5">
      <formula>$M$21=0</formula>
    </cfRule>
  </conditionalFormatting>
  <conditionalFormatting sqref="L29:Q37">
    <cfRule type="expression" dxfId="12" priority="4">
      <formula>$M$31=0</formula>
    </cfRule>
  </conditionalFormatting>
  <conditionalFormatting sqref="L39:Q47">
    <cfRule type="expression" dxfId="11" priority="3">
      <formula>$M$41=0</formula>
    </cfRule>
  </conditionalFormatting>
  <conditionalFormatting sqref="R22:R27">
    <cfRule type="expression" dxfId="10" priority="1">
      <formula>$M$21=0</formula>
    </cfRule>
  </conditionalFormatting>
  <conditionalFormatting sqref="R42:R47">
    <cfRule type="expression" dxfId="9" priority="2">
      <formula>$M$41=0</formula>
    </cfRule>
  </conditionalFormatting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 tint="0.39997558519241921"/>
    <pageSetUpPr fitToPage="1"/>
  </sheetPr>
  <dimension ref="A1:BZ117"/>
  <sheetViews>
    <sheetView showGridLines="0" topLeftCell="C15" zoomScale="113" zoomScaleNormal="100" zoomScalePageLayoutView="70" workbookViewId="0">
      <selection activeCell="AE40" sqref="AE40"/>
    </sheetView>
  </sheetViews>
  <sheetFormatPr defaultColWidth="8.88671875" defaultRowHeight="14.4" outlineLevelRow="2" outlineLevelCol="1" x14ac:dyDescent="0.3"/>
  <cols>
    <col min="1" max="1" width="23" style="6" customWidth="1"/>
    <col min="2" max="2" width="10.44140625" style="6" customWidth="1"/>
    <col min="3" max="3" width="6.5546875" style="6" customWidth="1"/>
    <col min="4" max="4" width="12.44140625" style="6" bestFit="1" customWidth="1"/>
    <col min="5" max="5" width="10" style="6" customWidth="1"/>
    <col min="6" max="6" width="6.5546875" style="6" customWidth="1"/>
    <col min="7" max="7" width="7.109375" style="6" hidden="1" customWidth="1" outlineLevel="1"/>
    <col min="8" max="8" width="7.88671875" style="6" hidden="1" customWidth="1" outlineLevel="1"/>
    <col min="9" max="9" width="6.88671875" style="6" bestFit="1" customWidth="1" collapsed="1"/>
    <col min="10" max="10" width="12.44140625" style="6" customWidth="1"/>
    <col min="11" max="11" width="11.5546875" style="1" customWidth="1"/>
    <col min="12" max="12" width="11.88671875" style="26" customWidth="1"/>
    <col min="13" max="13" width="11.109375" style="64" customWidth="1"/>
    <col min="14" max="14" width="11.88671875" style="1" customWidth="1"/>
    <col min="15" max="15" width="9.88671875" style="1" customWidth="1"/>
    <col min="16" max="16" width="11" style="1" customWidth="1"/>
    <col min="17" max="17" width="11" style="1" customWidth="1" outlineLevel="1"/>
    <col min="18" max="18" width="9.44140625" style="26" customWidth="1" outlineLevel="1"/>
    <col min="19" max="19" width="7.109375" style="64" customWidth="1" outlineLevel="1"/>
    <col min="20" max="20" width="11.88671875" style="1" customWidth="1" outlineLevel="1"/>
    <col min="21" max="21" width="9.88671875" style="1" customWidth="1" outlineLevel="1"/>
    <col min="22" max="23" width="11" style="1" customWidth="1" outlineLevel="1"/>
    <col min="24" max="24" width="11.44140625" style="26" customWidth="1" outlineLevel="1"/>
    <col min="25" max="25" width="7.109375" style="64" customWidth="1" outlineLevel="1"/>
    <col min="26" max="26" width="12.5546875" style="1" customWidth="1" outlineLevel="1"/>
    <col min="27" max="27" width="9.88671875" style="1" customWidth="1" outlineLevel="1"/>
    <col min="28" max="29" width="11" style="1" customWidth="1" outlineLevel="1"/>
    <col min="30" max="30" width="10" style="26" customWidth="1" outlineLevel="1"/>
    <col min="31" max="31" width="7.109375" style="64" customWidth="1" outlineLevel="1"/>
    <col min="32" max="32" width="12.5546875" style="1" customWidth="1" outlineLevel="1"/>
    <col min="33" max="33" width="9.109375" style="1" customWidth="1" outlineLevel="1"/>
    <col min="34" max="34" width="11" style="1" customWidth="1" outlineLevel="1"/>
    <col min="35" max="35" width="10.44140625" style="1" hidden="1" customWidth="1" outlineLevel="1"/>
    <col min="36" max="36" width="11.44140625" style="26" hidden="1" customWidth="1" outlineLevel="1"/>
    <col min="37" max="37" width="7.109375" style="64" hidden="1" customWidth="1" outlineLevel="1"/>
    <col min="38" max="38" width="12.44140625" style="1" hidden="1" customWidth="1" outlineLevel="1"/>
    <col min="39" max="39" width="9.88671875" style="1" hidden="1" customWidth="1" outlineLevel="1"/>
    <col min="40" max="40" width="11" style="1" hidden="1" customWidth="1" outlineLevel="1"/>
    <col min="41" max="41" width="17.44140625" style="1" customWidth="1"/>
    <col min="42" max="42" width="20.44140625" style="1" bestFit="1" customWidth="1"/>
    <col min="43" max="43" width="6.88671875" style="1" customWidth="1"/>
    <col min="44" max="44" width="18.44140625" style="1" bestFit="1" customWidth="1"/>
    <col min="45" max="16384" width="8.88671875" style="1"/>
  </cols>
  <sheetData>
    <row r="1" spans="1:78" ht="15" customHeight="1" x14ac:dyDescent="0.3">
      <c r="A1" s="126" t="s">
        <v>4</v>
      </c>
      <c r="B1" s="663" t="s">
        <v>37</v>
      </c>
      <c r="C1" s="663"/>
      <c r="D1" s="663"/>
      <c r="E1" s="663"/>
      <c r="F1" s="154"/>
      <c r="G1" s="154"/>
      <c r="H1" s="154"/>
      <c r="I1" s="154"/>
      <c r="J1" s="154"/>
      <c r="K1" s="155"/>
      <c r="L1" s="156"/>
      <c r="M1" s="157"/>
      <c r="N1" s="158"/>
      <c r="O1" s="158"/>
      <c r="P1" s="158"/>
      <c r="Q1" s="158"/>
      <c r="R1" s="156"/>
      <c r="S1" s="157"/>
      <c r="T1" s="158"/>
      <c r="U1" s="158"/>
      <c r="V1" s="158"/>
      <c r="W1" s="158"/>
      <c r="X1" s="156"/>
      <c r="Y1" s="157"/>
      <c r="Z1" s="158"/>
      <c r="AA1" s="158"/>
      <c r="AB1" s="158"/>
      <c r="AC1" s="158"/>
      <c r="AD1" s="156"/>
      <c r="AE1" s="157"/>
      <c r="AF1" s="158"/>
      <c r="AG1" s="158"/>
      <c r="AH1" s="158"/>
      <c r="AI1" s="158"/>
      <c r="AJ1" s="156"/>
      <c r="AK1" s="157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158"/>
      <c r="BG1" s="158"/>
      <c r="BH1" s="158"/>
      <c r="BI1" s="158"/>
      <c r="BJ1" s="158"/>
      <c r="BK1" s="158"/>
      <c r="BL1" s="158"/>
      <c r="BM1" s="158"/>
      <c r="BN1" s="158"/>
      <c r="BO1" s="158"/>
      <c r="BP1" s="158"/>
      <c r="BQ1" s="158"/>
      <c r="BR1" s="158"/>
      <c r="BS1" s="158"/>
      <c r="BT1" s="158"/>
      <c r="BU1" s="158"/>
      <c r="BV1" s="158"/>
      <c r="BW1" s="158"/>
      <c r="BX1" s="158"/>
      <c r="BY1" s="158"/>
      <c r="BZ1" s="158"/>
    </row>
    <row r="2" spans="1:78" x14ac:dyDescent="0.3">
      <c r="A2" s="126" t="s">
        <v>0</v>
      </c>
      <c r="B2" s="656" t="s">
        <v>38</v>
      </c>
      <c r="C2" s="656"/>
      <c r="D2" s="656"/>
      <c r="E2" s="656"/>
      <c r="F2" s="656"/>
      <c r="G2" s="656"/>
      <c r="H2" s="656"/>
      <c r="I2" s="656"/>
      <c r="J2" s="656"/>
      <c r="K2" s="199"/>
      <c r="L2" s="199"/>
      <c r="M2" s="199"/>
      <c r="N2" s="199"/>
      <c r="O2" s="199"/>
      <c r="P2" s="198"/>
      <c r="Q2" s="158"/>
      <c r="R2" s="158"/>
      <c r="S2" s="157"/>
      <c r="T2" s="158"/>
      <c r="U2" s="158"/>
      <c r="V2" s="158"/>
      <c r="W2" s="158"/>
      <c r="X2" s="156"/>
      <c r="Y2" s="157"/>
      <c r="Z2" s="158"/>
      <c r="AA2" s="158"/>
      <c r="AB2" s="158"/>
      <c r="AC2" s="158"/>
      <c r="AD2" s="156"/>
      <c r="AE2" s="157"/>
      <c r="AF2" s="158"/>
      <c r="AG2" s="158"/>
      <c r="AH2" s="158"/>
      <c r="AI2" s="158"/>
      <c r="AJ2" s="156"/>
      <c r="AK2" s="157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8"/>
      <c r="BE2" s="158"/>
      <c r="BF2" s="158"/>
      <c r="BG2" s="158"/>
      <c r="BH2" s="158"/>
      <c r="BI2" s="158"/>
      <c r="BJ2" s="158"/>
      <c r="BK2" s="158"/>
      <c r="BL2" s="158"/>
      <c r="BM2" s="158"/>
      <c r="BN2" s="158"/>
      <c r="BO2" s="158"/>
      <c r="BP2" s="158"/>
      <c r="BQ2" s="158"/>
      <c r="BR2" s="158"/>
      <c r="BS2" s="158"/>
      <c r="BT2" s="158"/>
      <c r="BU2" s="158"/>
      <c r="BV2" s="158"/>
      <c r="BW2" s="158"/>
      <c r="BX2" s="158"/>
      <c r="BY2" s="158"/>
      <c r="BZ2" s="158"/>
    </row>
    <row r="3" spans="1:78" x14ac:dyDescent="0.3">
      <c r="A3" s="126" t="s">
        <v>2</v>
      </c>
      <c r="B3" s="656" t="s">
        <v>39</v>
      </c>
      <c r="C3" s="656"/>
      <c r="D3" s="656"/>
      <c r="E3" s="656"/>
      <c r="F3" s="158"/>
      <c r="G3" s="154"/>
      <c r="H3" s="154"/>
      <c r="I3" s="154"/>
      <c r="J3" s="158"/>
      <c r="K3" s="158"/>
      <c r="L3" s="158"/>
      <c r="M3" s="157"/>
      <c r="N3" s="158"/>
      <c r="O3" s="158"/>
      <c r="P3" s="158"/>
      <c r="Q3" s="158"/>
      <c r="R3" s="156"/>
      <c r="S3" s="157"/>
      <c r="T3" s="158"/>
      <c r="U3" s="158"/>
      <c r="V3" s="158"/>
      <c r="W3" s="159"/>
      <c r="X3" s="156"/>
      <c r="Y3" s="157"/>
      <c r="Z3" s="158"/>
      <c r="AA3" s="158"/>
      <c r="AB3" s="158"/>
      <c r="AC3" s="158"/>
      <c r="AD3" s="156"/>
      <c r="AE3" s="157"/>
      <c r="AF3" s="158"/>
      <c r="AG3" s="158"/>
      <c r="AH3" s="158"/>
      <c r="AI3" s="158"/>
      <c r="AJ3" s="156"/>
      <c r="AK3" s="157"/>
      <c r="AL3" s="158"/>
      <c r="AM3" s="158"/>
      <c r="AN3" s="158"/>
      <c r="AO3" s="158"/>
      <c r="AP3" s="158"/>
      <c r="AQ3" s="158"/>
      <c r="AR3" s="158"/>
      <c r="AS3" s="158"/>
      <c r="AT3" s="158"/>
      <c r="AU3" s="158"/>
      <c r="AV3" s="158"/>
      <c r="AW3" s="158"/>
      <c r="AX3" s="158"/>
      <c r="AY3" s="158"/>
      <c r="AZ3" s="158"/>
      <c r="BA3" s="158"/>
      <c r="BB3" s="158"/>
      <c r="BC3" s="158"/>
      <c r="BD3" s="158"/>
      <c r="BE3" s="158"/>
      <c r="BF3" s="158"/>
      <c r="BG3" s="158"/>
      <c r="BH3" s="158"/>
      <c r="BI3" s="158"/>
      <c r="BJ3" s="158"/>
      <c r="BK3" s="158"/>
      <c r="BL3" s="158"/>
      <c r="BM3" s="158"/>
      <c r="BN3" s="158"/>
      <c r="BO3" s="158"/>
      <c r="BP3" s="158"/>
      <c r="BQ3" s="158"/>
      <c r="BR3" s="158"/>
      <c r="BS3" s="158"/>
      <c r="BT3" s="158"/>
      <c r="BU3" s="158"/>
      <c r="BV3" s="158"/>
      <c r="BW3" s="158"/>
      <c r="BX3" s="158"/>
      <c r="BY3" s="158"/>
      <c r="BZ3" s="158"/>
    </row>
    <row r="4" spans="1:78" outlineLevel="1" x14ac:dyDescent="0.3">
      <c r="A4" s="126" t="s">
        <v>40</v>
      </c>
      <c r="B4" s="655">
        <v>44470</v>
      </c>
      <c r="C4" s="656"/>
      <c r="D4" s="656"/>
      <c r="E4" s="656"/>
      <c r="F4" s="158"/>
      <c r="G4" s="154"/>
      <c r="H4" s="154"/>
      <c r="I4" s="154"/>
      <c r="J4" s="158"/>
      <c r="K4" s="158"/>
      <c r="L4" s="158"/>
      <c r="M4" s="157"/>
      <c r="N4" s="158"/>
      <c r="O4" s="154"/>
      <c r="P4" s="158"/>
      <c r="Q4" s="158"/>
      <c r="R4" s="156"/>
      <c r="S4" s="157"/>
      <c r="T4" s="158"/>
      <c r="U4" s="158"/>
      <c r="V4" s="158"/>
      <c r="W4" s="155"/>
      <c r="X4" s="156"/>
      <c r="Y4" s="157"/>
      <c r="Z4" s="158"/>
      <c r="AA4" s="158"/>
      <c r="AB4" s="158"/>
      <c r="AC4" s="158"/>
      <c r="AD4" s="156"/>
      <c r="AE4" s="157"/>
      <c r="AF4" s="158"/>
      <c r="AG4" s="158"/>
      <c r="AH4" s="158"/>
      <c r="AI4" s="158"/>
      <c r="AJ4" s="156"/>
      <c r="AK4" s="157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8"/>
      <c r="BZ4" s="158"/>
    </row>
    <row r="5" spans="1:78" outlineLevel="1" x14ac:dyDescent="0.3">
      <c r="A5" s="126" t="s">
        <v>41</v>
      </c>
      <c r="B5" s="656">
        <v>4</v>
      </c>
      <c r="C5" s="656"/>
      <c r="D5" s="656"/>
      <c r="E5" s="656"/>
      <c r="F5" s="158"/>
      <c r="G5" s="154"/>
      <c r="H5" s="154"/>
      <c r="I5" s="154"/>
      <c r="J5" s="158"/>
      <c r="K5" s="158"/>
      <c r="L5" s="158"/>
      <c r="M5" s="157"/>
      <c r="N5" s="158"/>
      <c r="O5" s="154"/>
      <c r="P5" s="158"/>
      <c r="Q5" s="158"/>
      <c r="R5" s="156"/>
      <c r="S5" s="157"/>
      <c r="T5" s="158"/>
      <c r="U5" s="158"/>
      <c r="V5" s="158"/>
      <c r="W5" s="155"/>
      <c r="X5" s="156"/>
      <c r="Y5" s="157"/>
      <c r="Z5" s="158"/>
      <c r="AA5" s="158"/>
      <c r="AB5" s="158"/>
      <c r="AC5" s="158"/>
      <c r="AD5" s="156"/>
      <c r="AE5" s="157"/>
      <c r="AF5" s="158"/>
      <c r="AG5" s="158"/>
      <c r="AH5" s="158"/>
      <c r="AI5" s="158"/>
      <c r="AJ5" s="156"/>
      <c r="AK5" s="157"/>
      <c r="AL5" s="158"/>
      <c r="AM5" s="158"/>
      <c r="AN5" s="158"/>
      <c r="AO5" s="158"/>
      <c r="AP5" s="158"/>
      <c r="AQ5" s="158"/>
      <c r="AR5" s="158"/>
      <c r="AS5" s="158"/>
      <c r="AT5" s="158"/>
      <c r="AU5" s="158"/>
      <c r="AV5" s="158"/>
      <c r="AW5" s="158"/>
      <c r="AX5" s="158"/>
      <c r="AY5" s="158"/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  <c r="BK5" s="158"/>
      <c r="BL5" s="158"/>
      <c r="BM5" s="158"/>
      <c r="BN5" s="158"/>
      <c r="BO5" s="158"/>
      <c r="BP5" s="158"/>
      <c r="BQ5" s="158"/>
      <c r="BR5" s="158"/>
      <c r="BS5" s="158"/>
      <c r="BT5" s="158"/>
      <c r="BU5" s="158"/>
      <c r="BV5" s="158"/>
      <c r="BW5" s="158"/>
      <c r="BX5" s="158"/>
      <c r="BY5" s="158"/>
      <c r="BZ5" s="158"/>
    </row>
    <row r="6" spans="1:78" outlineLevel="1" x14ac:dyDescent="0.3">
      <c r="A6" s="126" t="s">
        <v>6</v>
      </c>
      <c r="B6" s="656" t="s">
        <v>42</v>
      </c>
      <c r="C6" s="656"/>
      <c r="D6" s="656"/>
      <c r="E6" s="656"/>
      <c r="F6" s="154"/>
      <c r="G6" s="154"/>
      <c r="H6" s="154"/>
      <c r="I6" s="154"/>
      <c r="J6" s="158"/>
      <c r="K6" s="158"/>
      <c r="L6" s="158"/>
      <c r="M6" s="157"/>
      <c r="N6" s="158"/>
      <c r="O6" s="158"/>
      <c r="P6" s="158"/>
      <c r="Q6" s="158"/>
      <c r="R6" s="156"/>
      <c r="S6" s="157"/>
      <c r="T6" s="158"/>
      <c r="U6" s="158"/>
      <c r="V6" s="158"/>
      <c r="W6" s="158"/>
      <c r="X6" s="156"/>
      <c r="Y6" s="157"/>
      <c r="Z6" s="158"/>
      <c r="AA6" s="158"/>
      <c r="AB6" s="158"/>
      <c r="AC6" s="158"/>
      <c r="AD6" s="156"/>
      <c r="AE6" s="157"/>
      <c r="AF6" s="158"/>
      <c r="AG6" s="158"/>
      <c r="AH6" s="158"/>
      <c r="AI6" s="158"/>
      <c r="AJ6" s="156"/>
      <c r="AK6" s="157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8"/>
      <c r="BQ6" s="158"/>
      <c r="BR6" s="158"/>
      <c r="BS6" s="158"/>
      <c r="BT6" s="158"/>
      <c r="BU6" s="158"/>
      <c r="BV6" s="158"/>
      <c r="BW6" s="158"/>
      <c r="BX6" s="158"/>
      <c r="BY6" s="158"/>
      <c r="BZ6" s="158"/>
    </row>
    <row r="7" spans="1:78" outlineLevel="1" x14ac:dyDescent="0.3">
      <c r="A7" s="126" t="s">
        <v>43</v>
      </c>
      <c r="B7" s="656" t="s">
        <v>44</v>
      </c>
      <c r="C7" s="656"/>
      <c r="D7" s="656"/>
      <c r="E7" s="656"/>
      <c r="F7" s="154"/>
      <c r="G7" s="154"/>
      <c r="H7" s="154"/>
      <c r="I7" s="154"/>
      <c r="J7" s="158"/>
      <c r="K7" s="158"/>
      <c r="L7" s="158"/>
      <c r="M7" s="157"/>
      <c r="N7" s="158"/>
      <c r="O7" s="158"/>
      <c r="P7" s="158"/>
      <c r="Q7" s="158"/>
      <c r="R7" s="156"/>
      <c r="S7" s="157"/>
      <c r="T7" s="158"/>
      <c r="U7" s="158"/>
      <c r="V7" s="158"/>
      <c r="W7" s="158"/>
      <c r="X7" s="156"/>
      <c r="Y7" s="157"/>
      <c r="Z7" s="158"/>
      <c r="AA7" s="158"/>
      <c r="AB7" s="158"/>
      <c r="AC7" s="158"/>
      <c r="AD7" s="156"/>
      <c r="AE7" s="157"/>
      <c r="AF7" s="158"/>
      <c r="AG7" s="158"/>
      <c r="AH7" s="158"/>
      <c r="AI7" s="158"/>
      <c r="AJ7" s="156"/>
      <c r="AK7" s="157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8"/>
      <c r="AW7" s="158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8"/>
      <c r="BP7" s="158"/>
      <c r="BQ7" s="158"/>
      <c r="BR7" s="158"/>
      <c r="BS7" s="158"/>
      <c r="BT7" s="158"/>
      <c r="BU7" s="158"/>
      <c r="BV7" s="158"/>
      <c r="BW7" s="158"/>
      <c r="BX7" s="158"/>
      <c r="BY7" s="158"/>
      <c r="BZ7" s="158"/>
    </row>
    <row r="8" spans="1:78" ht="15" outlineLevel="1" thickBot="1" x14ac:dyDescent="0.35">
      <c r="A8" s="126" t="s">
        <v>7</v>
      </c>
      <c r="B8" s="657">
        <v>44033</v>
      </c>
      <c r="C8" s="657"/>
      <c r="D8" s="657"/>
      <c r="E8" s="657"/>
      <c r="F8" s="158"/>
      <c r="G8" s="126"/>
      <c r="H8" s="126"/>
      <c r="I8" s="160"/>
      <c r="J8" s="158"/>
      <c r="K8" s="158"/>
      <c r="L8" s="158"/>
      <c r="M8" s="157"/>
      <c r="N8" s="158"/>
      <c r="O8" s="158"/>
      <c r="P8" s="158"/>
      <c r="Q8" s="158"/>
      <c r="R8" s="156"/>
      <c r="S8" s="157"/>
      <c r="T8" s="158"/>
      <c r="U8" s="158"/>
      <c r="V8" s="158"/>
      <c r="W8" s="158"/>
      <c r="X8" s="156"/>
      <c r="Y8" s="157"/>
      <c r="Z8" s="158"/>
      <c r="AA8" s="158"/>
      <c r="AB8" s="158"/>
      <c r="AC8" s="158"/>
      <c r="AD8" s="156"/>
      <c r="AE8" s="157"/>
      <c r="AF8" s="158"/>
      <c r="AG8" s="158"/>
      <c r="AH8" s="158"/>
      <c r="AI8" s="158"/>
      <c r="AJ8" s="156"/>
      <c r="AK8" s="157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  <c r="AW8" s="158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8"/>
      <c r="BQ8" s="158"/>
      <c r="BR8" s="158"/>
      <c r="BS8" s="158"/>
      <c r="BT8" s="158"/>
      <c r="BU8" s="158"/>
      <c r="BV8" s="158"/>
      <c r="BW8" s="158"/>
      <c r="BX8" s="158"/>
      <c r="BY8" s="158"/>
      <c r="BZ8" s="158"/>
    </row>
    <row r="9" spans="1:78" ht="15" outlineLevel="1" thickBot="1" x14ac:dyDescent="0.35">
      <c r="A9" s="658" t="s">
        <v>45</v>
      </c>
      <c r="B9" s="659"/>
      <c r="C9" s="175"/>
      <c r="D9" s="660" t="s">
        <v>46</v>
      </c>
      <c r="E9" s="661"/>
      <c r="F9" s="126"/>
      <c r="G9" s="158"/>
      <c r="H9" s="158"/>
      <c r="I9" s="161"/>
      <c r="J9" s="166"/>
      <c r="K9" s="184" t="s">
        <v>47</v>
      </c>
      <c r="L9" s="175" t="s">
        <v>48</v>
      </c>
      <c r="M9" s="176" t="s">
        <v>49</v>
      </c>
      <c r="N9" s="158"/>
      <c r="O9" s="158"/>
      <c r="P9" s="158"/>
      <c r="Q9" s="158"/>
      <c r="R9" s="156"/>
      <c r="S9" s="157"/>
      <c r="T9" s="158"/>
      <c r="U9" s="158"/>
      <c r="V9" s="158"/>
      <c r="W9" s="158"/>
      <c r="X9" s="156"/>
      <c r="Y9" s="157"/>
      <c r="Z9" s="158"/>
      <c r="AA9" s="158"/>
      <c r="AB9" s="158"/>
      <c r="AC9" s="158"/>
      <c r="AD9" s="156"/>
      <c r="AE9" s="157"/>
      <c r="AF9" s="158"/>
      <c r="AG9" s="158"/>
      <c r="AH9" s="158"/>
      <c r="AI9" s="158"/>
      <c r="AJ9" s="156"/>
      <c r="AK9" s="157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  <c r="AW9" s="158"/>
      <c r="AX9" s="158"/>
      <c r="AY9" s="158"/>
      <c r="AZ9" s="158"/>
      <c r="BA9" s="158"/>
      <c r="BB9" s="158"/>
      <c r="BC9" s="158"/>
      <c r="BD9" s="158"/>
      <c r="BE9" s="158"/>
      <c r="BF9" s="158"/>
      <c r="BG9" s="158"/>
      <c r="BH9" s="158"/>
      <c r="BI9" s="158"/>
      <c r="BJ9" s="158"/>
      <c r="BK9" s="158"/>
      <c r="BL9" s="158"/>
      <c r="BM9" s="158"/>
      <c r="BN9" s="158"/>
      <c r="BO9" s="158"/>
      <c r="BP9" s="158"/>
      <c r="BQ9" s="158"/>
      <c r="BR9" s="158"/>
      <c r="BS9" s="158"/>
      <c r="BT9" s="158"/>
      <c r="BU9" s="158"/>
      <c r="BV9" s="158"/>
      <c r="BW9" s="158"/>
      <c r="BX9" s="158"/>
      <c r="BY9" s="158"/>
      <c r="BZ9" s="158"/>
    </row>
    <row r="10" spans="1:78" outlineLevel="1" x14ac:dyDescent="0.3">
      <c r="A10" s="127" t="s">
        <v>50</v>
      </c>
      <c r="B10" s="66">
        <v>0.3</v>
      </c>
      <c r="C10" s="66"/>
      <c r="D10" s="162" t="s">
        <v>51</v>
      </c>
      <c r="E10" s="65">
        <v>0.17</v>
      </c>
      <c r="F10" s="158"/>
      <c r="G10" s="161"/>
      <c r="H10" s="161"/>
      <c r="I10" s="161"/>
      <c r="J10" s="158"/>
      <c r="K10" s="177">
        <f>IF($B$5&gt;=1,1,"")</f>
        <v>1</v>
      </c>
      <c r="L10" s="201">
        <f>IF(NOT(ISBLANK(B4)), B4, "")</f>
        <v>44470</v>
      </c>
      <c r="M10" s="200">
        <f>IF(K10&lt;&gt;"",DATE(YEAR(L10)+1,MONTH(L10),DAY(L10)-1),"")</f>
        <v>44834</v>
      </c>
      <c r="N10" s="158"/>
      <c r="O10" s="158"/>
      <c r="P10" s="158"/>
      <c r="Q10" s="158"/>
      <c r="R10" s="156"/>
      <c r="S10" s="157"/>
      <c r="T10" s="158"/>
      <c r="U10" s="158"/>
      <c r="V10" s="158"/>
      <c r="W10" s="158"/>
      <c r="X10" s="156"/>
      <c r="Y10" s="157"/>
      <c r="Z10" s="158"/>
      <c r="AA10" s="158"/>
      <c r="AB10" s="158"/>
      <c r="AC10" s="158"/>
      <c r="AD10" s="156"/>
      <c r="AE10" s="157"/>
      <c r="AF10" s="158"/>
      <c r="AG10" s="158"/>
      <c r="AH10" s="158"/>
      <c r="AI10" s="158"/>
      <c r="AJ10" s="156"/>
      <c r="AK10" s="157"/>
      <c r="AL10" s="158"/>
      <c r="AM10" s="158"/>
      <c r="AN10" s="158"/>
      <c r="AO10" s="158"/>
      <c r="AP10" s="158"/>
      <c r="AQ10" s="158"/>
      <c r="AR10" s="158"/>
      <c r="AS10" s="158"/>
      <c r="AT10" s="158"/>
      <c r="AU10" s="158"/>
      <c r="AV10" s="158"/>
      <c r="AW10" s="158"/>
      <c r="AX10" s="158"/>
      <c r="AY10" s="158"/>
      <c r="AZ10" s="158"/>
      <c r="BA10" s="158"/>
      <c r="BB10" s="158"/>
      <c r="BC10" s="158"/>
      <c r="BD10" s="158"/>
      <c r="BE10" s="158"/>
      <c r="BF10" s="158"/>
      <c r="BG10" s="158"/>
      <c r="BH10" s="158"/>
      <c r="BI10" s="158"/>
      <c r="BJ10" s="158"/>
      <c r="BK10" s="158"/>
      <c r="BL10" s="158"/>
      <c r="BM10" s="158"/>
      <c r="BN10" s="158"/>
      <c r="BO10" s="158"/>
      <c r="BP10" s="158"/>
      <c r="BQ10" s="158"/>
      <c r="BR10" s="158"/>
      <c r="BS10" s="158"/>
      <c r="BT10" s="158"/>
      <c r="BU10" s="158"/>
      <c r="BV10" s="158"/>
      <c r="BW10" s="158"/>
      <c r="BX10" s="158"/>
      <c r="BY10" s="158"/>
      <c r="BZ10" s="158"/>
    </row>
    <row r="11" spans="1:78" outlineLevel="1" x14ac:dyDescent="0.3">
      <c r="A11" s="127" t="s">
        <v>52</v>
      </c>
      <c r="B11" s="67">
        <v>0.1</v>
      </c>
      <c r="C11" s="67"/>
      <c r="D11" s="162" t="s">
        <v>53</v>
      </c>
      <c r="E11" s="65">
        <v>0.17</v>
      </c>
      <c r="F11" s="161"/>
      <c r="G11" s="161"/>
      <c r="H11" s="161"/>
      <c r="I11" s="161"/>
      <c r="J11" s="158"/>
      <c r="K11" s="178">
        <f>IF($B$5&gt;=2,2,"")</f>
        <v>2</v>
      </c>
      <c r="L11" s="179">
        <f>IF(K11&lt;&gt;"",DATE(YEAR(L10)+1,MONTH(L10), DAY(L10)),"")</f>
        <v>44835</v>
      </c>
      <c r="M11" s="180">
        <f>IF(K11&lt;&gt;"",DATE(YEAR(L11)+1,MONTH(L11),DAY(L11)-1),"")</f>
        <v>45199</v>
      </c>
      <c r="N11" s="158"/>
      <c r="O11" s="158"/>
      <c r="P11" s="158"/>
      <c r="Q11" s="158"/>
      <c r="R11" s="156"/>
      <c r="S11" s="157"/>
      <c r="T11" s="158"/>
      <c r="U11" s="158"/>
      <c r="V11" s="158"/>
      <c r="W11" s="158"/>
      <c r="X11" s="156"/>
      <c r="Y11" s="157"/>
      <c r="Z11" s="158"/>
      <c r="AA11" s="158"/>
      <c r="AB11" s="158"/>
      <c r="AC11" s="158"/>
      <c r="AD11" s="156"/>
      <c r="AE11" s="157"/>
      <c r="AF11" s="158"/>
      <c r="AG11" s="158"/>
      <c r="AH11" s="158"/>
      <c r="AI11" s="158"/>
      <c r="AJ11" s="156"/>
      <c r="AK11" s="157"/>
      <c r="AL11" s="158"/>
      <c r="AM11" s="158"/>
      <c r="AN11" s="158"/>
      <c r="AO11" s="158"/>
      <c r="AP11" s="158"/>
      <c r="AQ11" s="158"/>
      <c r="AR11" s="158"/>
      <c r="AS11" s="158"/>
      <c r="AT11" s="158"/>
      <c r="AU11" s="158"/>
      <c r="AV11" s="158"/>
      <c r="AW11" s="158"/>
      <c r="AX11" s="158"/>
      <c r="AY11" s="158"/>
      <c r="AZ11" s="158"/>
      <c r="BA11" s="158"/>
      <c r="BB11" s="158"/>
      <c r="BC11" s="158"/>
      <c r="BD11" s="158"/>
      <c r="BE11" s="158"/>
      <c r="BF11" s="158"/>
      <c r="BG11" s="158"/>
      <c r="BH11" s="158"/>
      <c r="BI11" s="158"/>
      <c r="BJ11" s="158"/>
      <c r="BK11" s="158"/>
      <c r="BL11" s="158"/>
      <c r="BM11" s="158"/>
      <c r="BN11" s="158"/>
      <c r="BO11" s="158"/>
      <c r="BP11" s="158"/>
      <c r="BQ11" s="158"/>
      <c r="BR11" s="158"/>
      <c r="BS11" s="158"/>
      <c r="BT11" s="158"/>
      <c r="BU11" s="158"/>
      <c r="BV11" s="158"/>
      <c r="BW11" s="158"/>
      <c r="BX11" s="158"/>
      <c r="BY11" s="158"/>
      <c r="BZ11" s="158"/>
    </row>
    <row r="12" spans="1:78" outlineLevel="1" x14ac:dyDescent="0.3">
      <c r="A12" s="127" t="s">
        <v>54</v>
      </c>
      <c r="B12" s="67">
        <v>0.1</v>
      </c>
      <c r="C12" s="67"/>
      <c r="D12" s="163" t="s">
        <v>55</v>
      </c>
      <c r="E12" s="65">
        <v>0.17</v>
      </c>
      <c r="F12" s="161"/>
      <c r="G12" s="161"/>
      <c r="H12" s="161"/>
      <c r="I12" s="161"/>
      <c r="J12" s="158"/>
      <c r="K12" s="178">
        <v>3</v>
      </c>
      <c r="L12" s="179">
        <f t="shared" ref="L12:L14" si="0">IF(K12&lt;&gt;"",DATE(YEAR(L11)+1,MONTH(L11), DAY(L11)),"")</f>
        <v>45200</v>
      </c>
      <c r="M12" s="180">
        <f t="shared" ref="M12:M14" si="1">IF(K12&lt;&gt;"",DATE(YEAR(L12)+1,MONTH(L12),DAY(L12)-1),"")</f>
        <v>45565</v>
      </c>
      <c r="N12" s="158"/>
      <c r="O12" s="158"/>
      <c r="P12" s="158"/>
      <c r="Q12" s="158"/>
      <c r="R12" s="156"/>
      <c r="S12" s="157"/>
      <c r="T12" s="158"/>
      <c r="U12" s="158"/>
      <c r="V12" s="158"/>
      <c r="W12" s="158"/>
      <c r="X12" s="156"/>
      <c r="Y12" s="157"/>
      <c r="Z12" s="158"/>
      <c r="AA12" s="158"/>
      <c r="AB12" s="158"/>
      <c r="AC12" s="158"/>
      <c r="AD12" s="156"/>
      <c r="AE12" s="157"/>
      <c r="AF12" s="158"/>
      <c r="AG12" s="158"/>
      <c r="AH12" s="158"/>
      <c r="AI12" s="158"/>
      <c r="AJ12" s="156"/>
      <c r="AK12" s="157"/>
      <c r="AL12" s="158"/>
      <c r="AM12" s="158"/>
      <c r="AN12" s="158"/>
      <c r="AO12" s="158"/>
      <c r="AP12" s="158"/>
      <c r="AQ12" s="158"/>
      <c r="AR12" s="158"/>
      <c r="AS12" s="158"/>
      <c r="AT12" s="158"/>
      <c r="AU12" s="158"/>
      <c r="AV12" s="158"/>
      <c r="AW12" s="158"/>
      <c r="AX12" s="158"/>
      <c r="AY12" s="158"/>
      <c r="AZ12" s="158"/>
      <c r="BA12" s="158"/>
      <c r="BB12" s="158"/>
      <c r="BC12" s="158"/>
      <c r="BD12" s="158"/>
      <c r="BE12" s="158"/>
      <c r="BF12" s="158"/>
      <c r="BG12" s="158"/>
      <c r="BH12" s="158"/>
      <c r="BI12" s="158"/>
      <c r="BJ12" s="158"/>
      <c r="BK12" s="158"/>
      <c r="BL12" s="158"/>
      <c r="BM12" s="158"/>
      <c r="BN12" s="158"/>
      <c r="BO12" s="158"/>
      <c r="BP12" s="158"/>
      <c r="BQ12" s="158"/>
      <c r="BR12" s="158"/>
      <c r="BS12" s="158"/>
      <c r="BT12" s="158"/>
      <c r="BU12" s="158"/>
      <c r="BV12" s="158"/>
      <c r="BW12" s="158"/>
      <c r="BX12" s="158"/>
      <c r="BY12" s="158"/>
      <c r="BZ12" s="158"/>
    </row>
    <row r="13" spans="1:78" outlineLevel="1" x14ac:dyDescent="0.3">
      <c r="A13" s="127" t="s">
        <v>56</v>
      </c>
      <c r="B13" s="67">
        <v>0.38</v>
      </c>
      <c r="C13" s="67"/>
      <c r="D13" s="163" t="s">
        <v>57</v>
      </c>
      <c r="E13" s="65">
        <v>0.17</v>
      </c>
      <c r="F13" s="158"/>
      <c r="G13" s="158"/>
      <c r="H13" s="158"/>
      <c r="I13" s="158"/>
      <c r="J13" s="158"/>
      <c r="K13" s="178">
        <f>IF($B$5&gt;=4,4,"")</f>
        <v>4</v>
      </c>
      <c r="L13" s="179">
        <f t="shared" si="0"/>
        <v>45566</v>
      </c>
      <c r="M13" s="180">
        <f t="shared" si="1"/>
        <v>45930</v>
      </c>
      <c r="N13" s="158"/>
      <c r="O13" s="158"/>
      <c r="P13" s="158"/>
      <c r="Q13" s="158"/>
      <c r="R13" s="156"/>
      <c r="S13" s="157"/>
      <c r="T13" s="158"/>
      <c r="U13" s="158"/>
      <c r="V13" s="158"/>
      <c r="W13" s="158"/>
      <c r="X13" s="156"/>
      <c r="Y13" s="157"/>
      <c r="Z13" s="158"/>
      <c r="AA13" s="158"/>
      <c r="AB13" s="158"/>
      <c r="AC13" s="158"/>
      <c r="AD13" s="156"/>
      <c r="AE13" s="157"/>
      <c r="AF13" s="158"/>
      <c r="AG13" s="158"/>
      <c r="AH13" s="158"/>
      <c r="AI13" s="158"/>
      <c r="AJ13" s="156"/>
      <c r="AK13" s="157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8"/>
      <c r="AY13" s="158"/>
      <c r="AZ13" s="158"/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  <c r="BK13" s="158"/>
      <c r="BL13" s="158"/>
      <c r="BM13" s="158"/>
      <c r="BN13" s="158"/>
      <c r="BO13" s="158"/>
      <c r="BP13" s="158"/>
      <c r="BQ13" s="158"/>
      <c r="BR13" s="158"/>
      <c r="BS13" s="158"/>
      <c r="BT13" s="158"/>
      <c r="BU13" s="158"/>
      <c r="BV13" s="158"/>
      <c r="BW13" s="158"/>
      <c r="BX13" s="158"/>
      <c r="BY13" s="158"/>
      <c r="BZ13" s="158"/>
    </row>
    <row r="14" spans="1:78" ht="15" outlineLevel="1" thickBot="1" x14ac:dyDescent="0.35">
      <c r="A14" s="128" t="s">
        <v>58</v>
      </c>
      <c r="B14" s="68">
        <v>0.62</v>
      </c>
      <c r="C14" s="68"/>
      <c r="D14" s="165" t="s">
        <v>59</v>
      </c>
      <c r="E14" s="69">
        <v>0</v>
      </c>
      <c r="F14" s="164"/>
      <c r="G14" s="164"/>
      <c r="H14" s="164"/>
      <c r="I14" s="161"/>
      <c r="J14" s="158"/>
      <c r="K14" s="181" t="str">
        <f>IF($B$5&gt;=5,5,"")</f>
        <v/>
      </c>
      <c r="L14" s="182" t="str">
        <f t="shared" si="0"/>
        <v/>
      </c>
      <c r="M14" s="183" t="str">
        <f t="shared" si="1"/>
        <v/>
      </c>
      <c r="O14" s="158"/>
      <c r="P14" s="158"/>
      <c r="Q14" s="158"/>
      <c r="R14" s="156"/>
      <c r="S14" s="157"/>
      <c r="T14" s="158"/>
      <c r="U14" s="158"/>
      <c r="V14" s="158"/>
      <c r="W14" s="158"/>
      <c r="X14" s="156"/>
      <c r="Y14" s="157"/>
      <c r="Z14" s="158"/>
      <c r="AA14" s="158"/>
      <c r="AB14" s="158"/>
      <c r="AC14" s="158"/>
      <c r="AD14" s="156"/>
      <c r="AE14" s="157"/>
      <c r="AF14" s="158"/>
      <c r="AG14" s="158"/>
      <c r="AH14" s="158"/>
      <c r="AI14" s="158"/>
      <c r="AJ14" s="156"/>
      <c r="AK14" s="157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8"/>
      <c r="AY14" s="158"/>
      <c r="AZ14" s="158"/>
      <c r="BA14" s="158"/>
      <c r="BB14" s="158"/>
      <c r="BC14" s="158"/>
      <c r="BD14" s="158"/>
      <c r="BE14" s="158"/>
      <c r="BF14" s="158"/>
      <c r="BG14" s="158"/>
      <c r="BH14" s="158"/>
      <c r="BI14" s="158"/>
      <c r="BJ14" s="158"/>
      <c r="BK14" s="158"/>
      <c r="BL14" s="158"/>
      <c r="BM14" s="158"/>
      <c r="BN14" s="158"/>
      <c r="BO14" s="158"/>
      <c r="BP14" s="158"/>
      <c r="BQ14" s="158"/>
      <c r="BR14" s="158"/>
      <c r="BS14" s="158"/>
      <c r="BT14" s="158"/>
      <c r="BU14" s="158"/>
      <c r="BV14" s="158"/>
      <c r="BW14" s="158"/>
      <c r="BX14" s="158"/>
      <c r="BY14" s="158"/>
      <c r="BZ14" s="158"/>
    </row>
    <row r="15" spans="1:78" ht="15" outlineLevel="1" thickBot="1" x14ac:dyDescent="0.35">
      <c r="A15" s="154"/>
      <c r="B15" s="154"/>
      <c r="C15" s="154"/>
      <c r="D15" s="164" t="s">
        <v>60</v>
      </c>
      <c r="E15" s="154"/>
      <c r="F15" s="154"/>
      <c r="G15" s="154"/>
      <c r="H15" s="154"/>
      <c r="I15" s="154"/>
      <c r="J15" s="154"/>
      <c r="K15" s="158"/>
      <c r="L15" s="156"/>
      <c r="M15" s="157"/>
      <c r="N15" s="158"/>
      <c r="O15" s="158"/>
      <c r="P15" s="166" t="s">
        <v>61</v>
      </c>
      <c r="Q15" s="166"/>
      <c r="R15" s="156"/>
      <c r="S15" s="157"/>
      <c r="T15" s="158"/>
      <c r="U15" s="158"/>
      <c r="V15" s="158"/>
      <c r="W15" s="158"/>
      <c r="X15" s="156"/>
      <c r="Y15" s="157"/>
      <c r="Z15" s="158"/>
      <c r="AA15" s="158"/>
      <c r="AB15" s="158"/>
      <c r="AC15" s="158"/>
      <c r="AD15" s="156"/>
      <c r="AE15" s="157"/>
      <c r="AF15" s="158"/>
      <c r="AG15" s="158"/>
      <c r="AH15" s="158"/>
      <c r="AI15" s="158"/>
      <c r="AJ15" s="156"/>
      <c r="AK15" s="157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8"/>
      <c r="AY15" s="158"/>
      <c r="AZ15" s="158"/>
      <c r="BA15" s="158"/>
      <c r="BB15" s="158"/>
      <c r="BC15" s="158"/>
      <c r="BD15" s="158"/>
      <c r="BE15" s="158"/>
      <c r="BF15" s="158"/>
      <c r="BG15" s="158"/>
      <c r="BH15" s="158"/>
      <c r="BI15" s="158"/>
      <c r="BJ15" s="158"/>
      <c r="BK15" s="158"/>
      <c r="BL15" s="158"/>
      <c r="BM15" s="158"/>
      <c r="BN15" s="158"/>
      <c r="BO15" s="158"/>
      <c r="BP15" s="158"/>
      <c r="BQ15" s="158"/>
      <c r="BR15" s="158"/>
      <c r="BS15" s="158"/>
      <c r="BT15" s="158"/>
      <c r="BU15" s="158"/>
      <c r="BV15" s="158"/>
      <c r="BW15" s="158"/>
      <c r="BX15" s="158"/>
      <c r="BY15" s="158"/>
      <c r="BZ15" s="158"/>
    </row>
    <row r="16" spans="1:78" ht="18.75" customHeight="1" x14ac:dyDescent="0.3">
      <c r="A16" s="202" t="s">
        <v>62</v>
      </c>
      <c r="B16" s="203"/>
      <c r="C16" s="203"/>
      <c r="D16" s="203"/>
      <c r="E16" s="203"/>
      <c r="F16" s="203"/>
      <c r="G16" s="203"/>
      <c r="H16" s="203"/>
      <c r="I16" s="203"/>
      <c r="J16" s="204"/>
      <c r="K16" s="643" t="s">
        <v>51</v>
      </c>
      <c r="L16" s="644"/>
      <c r="M16" s="644"/>
      <c r="N16" s="644"/>
      <c r="O16" s="644"/>
      <c r="P16" s="644"/>
      <c r="Q16" s="643" t="s">
        <v>63</v>
      </c>
      <c r="R16" s="644"/>
      <c r="S16" s="644"/>
      <c r="T16" s="644"/>
      <c r="U16" s="644"/>
      <c r="V16" s="645"/>
      <c r="W16" s="643" t="s">
        <v>64</v>
      </c>
      <c r="X16" s="644"/>
      <c r="Y16" s="644"/>
      <c r="Z16" s="644"/>
      <c r="AA16" s="644"/>
      <c r="AB16" s="645"/>
      <c r="AC16" s="643" t="s">
        <v>65</v>
      </c>
      <c r="AD16" s="644"/>
      <c r="AE16" s="644"/>
      <c r="AF16" s="644"/>
      <c r="AG16" s="644"/>
      <c r="AH16" s="645"/>
      <c r="AI16" s="643" t="s">
        <v>66</v>
      </c>
      <c r="AJ16" s="646"/>
      <c r="AK16" s="646"/>
      <c r="AL16" s="646"/>
      <c r="AM16" s="646"/>
      <c r="AN16" s="647"/>
      <c r="AO16" s="641" t="s">
        <v>67</v>
      </c>
    </row>
    <row r="17" spans="1:78" ht="19.5" customHeight="1" thickBot="1" x14ac:dyDescent="0.35">
      <c r="A17" s="205"/>
      <c r="B17" s="206"/>
      <c r="C17" s="206"/>
      <c r="D17" s="206"/>
      <c r="E17" s="206"/>
      <c r="F17" s="206"/>
      <c r="G17" s="206"/>
      <c r="H17" s="206"/>
      <c r="I17" s="206"/>
      <c r="J17" s="207"/>
      <c r="K17" s="648" t="str">
        <f>CONCATENATE(TEXT($L10,"mm/dd/yyy"),"  -  ",TEXT($M10,"mm/dd/yyyy"))</f>
        <v>10/01/2021  -  09/30/2022</v>
      </c>
      <c r="L17" s="649"/>
      <c r="M17" s="649"/>
      <c r="N17" s="649"/>
      <c r="O17" s="649"/>
      <c r="P17" s="650"/>
      <c r="Q17" s="648" t="str">
        <f>CONCATENATE(TEXT($L11,"mm/dd/yyy"),"  -  ",TEXT($M11,"mm/dd/yyyy"))</f>
        <v>10/01/2022  -  09/30/2023</v>
      </c>
      <c r="R17" s="649"/>
      <c r="S17" s="649"/>
      <c r="T17" s="649"/>
      <c r="U17" s="649"/>
      <c r="V17" s="650"/>
      <c r="W17" s="648" t="str">
        <f>CONCATENATE(TEXT($L12,"mm/dd/yyy"),"  -  ",TEXT($M12,"mm/dd/yyyy"))</f>
        <v>10/01/2023  -  09/30/2024</v>
      </c>
      <c r="X17" s="649"/>
      <c r="Y17" s="649"/>
      <c r="Z17" s="649"/>
      <c r="AA17" s="649"/>
      <c r="AB17" s="650"/>
      <c r="AC17" s="648" t="str">
        <f>CONCATENATE(TEXT($L13,"mm/dd/yyy"),"  -  ",TEXT($M13,"mm/dd/yyyy"))</f>
        <v>10/01/2024  -  09/30/2025</v>
      </c>
      <c r="AD17" s="649"/>
      <c r="AE17" s="649"/>
      <c r="AF17" s="649"/>
      <c r="AG17" s="649"/>
      <c r="AH17" s="650"/>
      <c r="AI17" s="648" t="str">
        <f>CONCATENATE(TEXT($L14,"mm/dd/yyy"),"  -  ",TEXT($M14,"mm/dd/yyyy"))</f>
        <v xml:space="preserve">  -  </v>
      </c>
      <c r="AJ17" s="649"/>
      <c r="AK17" s="649"/>
      <c r="AL17" s="649"/>
      <c r="AM17" s="649"/>
      <c r="AN17" s="650"/>
      <c r="AO17" s="642"/>
    </row>
    <row r="18" spans="1:78" s="4" customFormat="1" ht="28.8" x14ac:dyDescent="0.3">
      <c r="A18" s="167" t="s">
        <v>68</v>
      </c>
      <c r="B18" s="168" t="s">
        <v>69</v>
      </c>
      <c r="C18" s="168" t="s">
        <v>70</v>
      </c>
      <c r="D18" s="168" t="s">
        <v>71</v>
      </c>
      <c r="E18" s="168" t="s">
        <v>72</v>
      </c>
      <c r="F18" s="662" t="s">
        <v>73</v>
      </c>
      <c r="G18" s="662"/>
      <c r="H18" s="662"/>
      <c r="I18" s="168" t="s">
        <v>74</v>
      </c>
      <c r="J18" s="169" t="s">
        <v>75</v>
      </c>
      <c r="K18" s="639" t="s">
        <v>76</v>
      </c>
      <c r="L18" s="651" t="s">
        <v>77</v>
      </c>
      <c r="M18" s="651" t="s">
        <v>78</v>
      </c>
      <c r="N18" s="651" t="s">
        <v>79</v>
      </c>
      <c r="O18" s="651" t="s">
        <v>80</v>
      </c>
      <c r="P18" s="662" t="s">
        <v>81</v>
      </c>
      <c r="Q18" s="639" t="s">
        <v>76</v>
      </c>
      <c r="R18" s="651" t="s">
        <v>77</v>
      </c>
      <c r="S18" s="651" t="s">
        <v>78</v>
      </c>
      <c r="T18" s="651" t="s">
        <v>79</v>
      </c>
      <c r="U18" s="651" t="s">
        <v>80</v>
      </c>
      <c r="V18" s="653" t="s">
        <v>81</v>
      </c>
      <c r="W18" s="651" t="s">
        <v>76</v>
      </c>
      <c r="X18" s="651" t="s">
        <v>77</v>
      </c>
      <c r="Y18" s="651" t="s">
        <v>78</v>
      </c>
      <c r="Z18" s="651" t="s">
        <v>79</v>
      </c>
      <c r="AA18" s="651" t="s">
        <v>80</v>
      </c>
      <c r="AB18" s="653" t="s">
        <v>81</v>
      </c>
      <c r="AC18" s="639" t="s">
        <v>76</v>
      </c>
      <c r="AD18" s="651" t="s">
        <v>77</v>
      </c>
      <c r="AE18" s="651" t="s">
        <v>78</v>
      </c>
      <c r="AF18" s="651" t="s">
        <v>79</v>
      </c>
      <c r="AG18" s="651" t="s">
        <v>80</v>
      </c>
      <c r="AH18" s="653" t="s">
        <v>81</v>
      </c>
      <c r="AI18" s="639" t="s">
        <v>76</v>
      </c>
      <c r="AJ18" s="651" t="s">
        <v>77</v>
      </c>
      <c r="AK18" s="651" t="s">
        <v>78</v>
      </c>
      <c r="AL18" s="651" t="s">
        <v>79</v>
      </c>
      <c r="AM18" s="651" t="s">
        <v>80</v>
      </c>
      <c r="AN18" s="653" t="s">
        <v>81</v>
      </c>
      <c r="AO18" s="642"/>
      <c r="AP18" s="170"/>
      <c r="AQ18" s="170"/>
      <c r="AR18" s="170"/>
      <c r="AS18" s="170"/>
      <c r="AT18" s="170"/>
      <c r="AU18" s="170"/>
      <c r="AV18" s="170"/>
      <c r="AW18" s="170"/>
      <c r="AX18" s="170"/>
      <c r="AY18" s="170"/>
      <c r="AZ18" s="170"/>
      <c r="BA18" s="170"/>
      <c r="BB18" s="170"/>
      <c r="BC18" s="170"/>
      <c r="BD18" s="170"/>
      <c r="BE18" s="170"/>
      <c r="BF18" s="170"/>
      <c r="BG18" s="170"/>
      <c r="BH18" s="170"/>
      <c r="BI18" s="170"/>
      <c r="BJ18" s="170"/>
      <c r="BK18" s="170"/>
      <c r="BL18" s="170"/>
      <c r="BM18" s="170"/>
      <c r="BN18" s="170"/>
      <c r="BO18" s="170"/>
      <c r="BP18" s="170"/>
      <c r="BQ18" s="170"/>
      <c r="BR18" s="170"/>
      <c r="BS18" s="170"/>
      <c r="BT18" s="170"/>
      <c r="BU18" s="170"/>
      <c r="BV18" s="170"/>
      <c r="BW18" s="170"/>
      <c r="BX18" s="170"/>
      <c r="BY18" s="170"/>
      <c r="BZ18" s="170"/>
    </row>
    <row r="19" spans="1:78" s="4" customFormat="1" ht="18.600000000000001" thickBot="1" x14ac:dyDescent="0.35">
      <c r="A19" s="171"/>
      <c r="B19" s="172"/>
      <c r="C19" s="172"/>
      <c r="D19" s="172"/>
      <c r="E19" s="172"/>
      <c r="F19" s="173" t="s">
        <v>82</v>
      </c>
      <c r="G19" s="173" t="s">
        <v>83</v>
      </c>
      <c r="H19" s="173" t="s">
        <v>84</v>
      </c>
      <c r="I19" s="172"/>
      <c r="J19" s="174"/>
      <c r="K19" s="640"/>
      <c r="L19" s="652"/>
      <c r="M19" s="652"/>
      <c r="N19" s="652"/>
      <c r="O19" s="652"/>
      <c r="P19" s="667"/>
      <c r="Q19" s="640"/>
      <c r="R19" s="652"/>
      <c r="S19" s="652"/>
      <c r="T19" s="652"/>
      <c r="U19" s="652"/>
      <c r="V19" s="654"/>
      <c r="W19" s="652"/>
      <c r="X19" s="652"/>
      <c r="Y19" s="652"/>
      <c r="Z19" s="652"/>
      <c r="AA19" s="652"/>
      <c r="AB19" s="654"/>
      <c r="AC19" s="640"/>
      <c r="AD19" s="652"/>
      <c r="AE19" s="652"/>
      <c r="AF19" s="652"/>
      <c r="AG19" s="652"/>
      <c r="AH19" s="654"/>
      <c r="AI19" s="640"/>
      <c r="AJ19" s="652"/>
      <c r="AK19" s="652"/>
      <c r="AL19" s="652"/>
      <c r="AM19" s="652"/>
      <c r="AN19" s="654"/>
      <c r="AO19" s="215"/>
      <c r="AP19" s="170"/>
      <c r="AQ19" s="170"/>
      <c r="AR19" s="170"/>
      <c r="AS19" s="170"/>
      <c r="AT19" s="170"/>
      <c r="AU19" s="170"/>
      <c r="AV19" s="170"/>
      <c r="AW19" s="170"/>
      <c r="AX19" s="170"/>
      <c r="AY19" s="170"/>
      <c r="AZ19" s="170"/>
      <c r="BA19" s="170"/>
      <c r="BB19" s="170"/>
      <c r="BC19" s="170"/>
      <c r="BD19" s="170"/>
      <c r="BE19" s="170"/>
      <c r="BF19" s="170"/>
      <c r="BG19" s="170"/>
      <c r="BH19" s="170"/>
      <c r="BI19" s="170"/>
      <c r="BJ19" s="170"/>
      <c r="BK19" s="170"/>
      <c r="BL19" s="170"/>
      <c r="BM19" s="170"/>
      <c r="BN19" s="170"/>
      <c r="BO19" s="170"/>
      <c r="BP19" s="170"/>
      <c r="BQ19" s="170"/>
      <c r="BR19" s="170"/>
      <c r="BS19" s="170"/>
      <c r="BT19" s="170"/>
      <c r="BU19" s="170"/>
      <c r="BV19" s="170"/>
      <c r="BW19" s="170"/>
      <c r="BX19" s="170"/>
      <c r="BY19" s="170"/>
      <c r="BZ19" s="170"/>
    </row>
    <row r="20" spans="1:78" s="4" customFormat="1" ht="18" outlineLevel="1" x14ac:dyDescent="0.3">
      <c r="A20" s="290" t="s">
        <v>85</v>
      </c>
      <c r="B20" s="291"/>
      <c r="C20" s="291"/>
      <c r="D20" s="291"/>
      <c r="E20" s="291"/>
      <c r="F20" s="291"/>
      <c r="G20" s="291"/>
      <c r="H20" s="291"/>
      <c r="I20" s="291"/>
      <c r="J20" s="292"/>
      <c r="K20" s="63"/>
      <c r="L20" s="70"/>
      <c r="M20" s="71"/>
      <c r="N20" s="72"/>
      <c r="O20" s="72"/>
      <c r="P20" s="72"/>
      <c r="Q20" s="63"/>
      <c r="R20" s="70"/>
      <c r="S20" s="71"/>
      <c r="T20" s="72"/>
      <c r="U20" s="72"/>
      <c r="V20" s="84"/>
      <c r="W20" s="72"/>
      <c r="X20" s="70"/>
      <c r="Y20" s="71"/>
      <c r="Z20" s="72"/>
      <c r="AA20" s="72"/>
      <c r="AB20" s="72"/>
      <c r="AC20" s="63"/>
      <c r="AD20" s="70"/>
      <c r="AE20" s="71"/>
      <c r="AF20" s="72"/>
      <c r="AG20" s="72"/>
      <c r="AH20" s="72"/>
      <c r="AI20" s="63"/>
      <c r="AJ20" s="70"/>
      <c r="AK20" s="71"/>
      <c r="AL20" s="72"/>
      <c r="AM20" s="72"/>
      <c r="AN20" s="84"/>
      <c r="AO20" s="104"/>
    </row>
    <row r="21" spans="1:78" outlineLevel="1" x14ac:dyDescent="0.3">
      <c r="A21" s="49" t="s">
        <v>86</v>
      </c>
      <c r="B21" s="50" t="s">
        <v>87</v>
      </c>
      <c r="C21" s="50"/>
      <c r="D21" s="50" t="s">
        <v>50</v>
      </c>
      <c r="E21" s="319">
        <v>0.23</v>
      </c>
      <c r="F21" s="318">
        <v>12</v>
      </c>
      <c r="G21" s="319"/>
      <c r="H21" s="319"/>
      <c r="I21" s="320">
        <v>1</v>
      </c>
      <c r="J21" s="532">
        <v>232139</v>
      </c>
      <c r="K21" s="322">
        <f>IF(AND($B$7="DHHS",J21&gt;'Stipends &amp; Salary Caps'!$B$22),'Stipends &amp; Salary Caps'!$B$22,IF(AND($B$7="PCORI",J21&gt;'Stipends &amp; Salary Caps'!$B$23),'Stipends &amp; Salary Caps'!$B$23,J21))</f>
        <v>232139</v>
      </c>
      <c r="L21" s="323">
        <f>$F21*$I21*M21</f>
        <v>1.2000000000000002</v>
      </c>
      <c r="M21" s="90">
        <v>0.1</v>
      </c>
      <c r="N21" s="324">
        <f>K21*(L21/12)</f>
        <v>23213.900000000005</v>
      </c>
      <c r="O21" s="324">
        <f>N21*E21</f>
        <v>5339.197000000001</v>
      </c>
      <c r="P21" s="324">
        <f>N21+O21</f>
        <v>28553.097000000005</v>
      </c>
      <c r="Q21" s="322">
        <f>K21*1.02</f>
        <v>236781.78</v>
      </c>
      <c r="R21" s="323">
        <f>$F21*$I21*S21</f>
        <v>1.7999999999999998</v>
      </c>
      <c r="S21" s="90">
        <f>1.8/12</f>
        <v>0.15</v>
      </c>
      <c r="T21" s="324">
        <f>Q21*(R21/12)</f>
        <v>35517.267</v>
      </c>
      <c r="U21" s="324">
        <f>T21*E21</f>
        <v>8168.9714100000001</v>
      </c>
      <c r="V21" s="325">
        <f>T21+U21</f>
        <v>43686.238409999998</v>
      </c>
      <c r="W21" s="324">
        <f>Q21*1.02</f>
        <v>241517.41560000001</v>
      </c>
      <c r="X21" s="323">
        <f t="shared" ref="X21:X31" si="2">$F21*$I21*Y21</f>
        <v>1.7999999999999998</v>
      </c>
      <c r="Y21" s="90">
        <v>0.15</v>
      </c>
      <c r="Z21" s="324">
        <f>W21*(X21/12)</f>
        <v>36227.61234</v>
      </c>
      <c r="AA21" s="324">
        <f t="shared" ref="AA21:AA31" si="3">Z21*E21</f>
        <v>8332.3508382</v>
      </c>
      <c r="AB21" s="324">
        <f t="shared" ref="AB21:AB30" si="4">Z21+AA21</f>
        <v>44559.9631782</v>
      </c>
      <c r="AC21" s="322">
        <f>W21*1.02</f>
        <v>246347.76391200002</v>
      </c>
      <c r="AD21" s="323">
        <f t="shared" ref="AD21:AD31" si="5">$F21*$I21*AE21</f>
        <v>1.7999999999999998</v>
      </c>
      <c r="AE21" s="90">
        <v>0.15</v>
      </c>
      <c r="AF21" s="324">
        <f>AC21*(AD21/12)</f>
        <v>36952.164586800005</v>
      </c>
      <c r="AG21" s="324">
        <f t="shared" ref="AG21:AG31" si="6">AF21*E21</f>
        <v>8498.9978549640018</v>
      </c>
      <c r="AH21" s="324">
        <f>AF21+AG21</f>
        <v>45451.162441764005</v>
      </c>
      <c r="AI21" s="322"/>
      <c r="AJ21" s="323">
        <f t="shared" ref="AJ21:AJ31" si="7">$F21*$I21*AK21</f>
        <v>0</v>
      </c>
      <c r="AK21" s="90">
        <v>0</v>
      </c>
      <c r="AL21" s="324">
        <f t="shared" ref="AL21:AL31" si="8">AI21*(AJ21/12)</f>
        <v>0</v>
      </c>
      <c r="AM21" s="324">
        <f t="shared" ref="AM21:AM31" si="9">AL21*E21</f>
        <v>0</v>
      </c>
      <c r="AN21" s="325">
        <f t="shared" ref="AN21:AN30" si="10">AL21+AM21</f>
        <v>0</v>
      </c>
      <c r="AO21" s="217">
        <f>P21+V21+AB21+AH21+AN21</f>
        <v>162250.461029964</v>
      </c>
    </row>
    <row r="22" spans="1:78" outlineLevel="1" x14ac:dyDescent="0.3">
      <c r="A22" s="49" t="s">
        <v>88</v>
      </c>
      <c r="B22" s="50" t="s">
        <v>89</v>
      </c>
      <c r="C22" s="50"/>
      <c r="D22" s="50" t="s">
        <v>50</v>
      </c>
      <c r="E22" s="319">
        <v>0.34</v>
      </c>
      <c r="F22" s="318">
        <v>12</v>
      </c>
      <c r="G22" s="319"/>
      <c r="H22" s="319"/>
      <c r="I22" s="320">
        <v>1</v>
      </c>
      <c r="J22" s="532">
        <v>158000</v>
      </c>
      <c r="K22" s="322">
        <f>IF(AND($B$7="DHHS",J22&gt;'Stipends &amp; Salary Caps'!$B$22),'Stipends &amp; Salary Caps'!$B$22,IF(AND($B$7="PCORI",J22&gt;'Stipends &amp; Salary Caps'!$B$23),'Stipends &amp; Salary Caps'!$B$23,J22))</f>
        <v>158000</v>
      </c>
      <c r="L22" s="323">
        <f t="shared" ref="L22:L24" si="11">$F22*$I22*M22</f>
        <v>0.60000000000000009</v>
      </c>
      <c r="M22" s="90">
        <v>0.05</v>
      </c>
      <c r="N22" s="324">
        <f t="shared" ref="N22:N24" si="12">K22*(L22/12)</f>
        <v>7900.0000000000018</v>
      </c>
      <c r="O22" s="324">
        <f>N22*E22</f>
        <v>2686.0000000000009</v>
      </c>
      <c r="P22" s="324">
        <f t="shared" ref="P22:P24" si="13">N22+O22</f>
        <v>10586.000000000004</v>
      </c>
      <c r="Q22" s="322">
        <f t="shared" ref="Q22:Q23" si="14">K22*1.02</f>
        <v>161160</v>
      </c>
      <c r="R22" s="323">
        <f t="shared" ref="R22:R24" si="15">$F22*$I22*S22</f>
        <v>1.7999999999999998</v>
      </c>
      <c r="S22" s="90">
        <v>0.15</v>
      </c>
      <c r="T22" s="324">
        <f t="shared" ref="T22:T24" si="16">Q22*(R22/12)</f>
        <v>24174</v>
      </c>
      <c r="U22" s="324">
        <f t="shared" ref="U22:U24" si="17">T22*E22</f>
        <v>8219.16</v>
      </c>
      <c r="V22" s="325">
        <f t="shared" ref="V22:V24" si="18">T22+U22</f>
        <v>32393.16</v>
      </c>
      <c r="W22" s="324">
        <f t="shared" ref="W22:W24" si="19">Q22*1.02</f>
        <v>164383.20000000001</v>
      </c>
      <c r="X22" s="323">
        <f t="shared" si="2"/>
        <v>2.4000000000000004</v>
      </c>
      <c r="Y22" s="90">
        <v>0.2</v>
      </c>
      <c r="Z22" s="324">
        <f t="shared" ref="Z22:Z23" si="20">W22*(X22/12)</f>
        <v>32876.640000000007</v>
      </c>
      <c r="AA22" s="324">
        <f t="shared" si="3"/>
        <v>11178.057600000004</v>
      </c>
      <c r="AB22" s="324">
        <f t="shared" si="4"/>
        <v>44054.697600000014</v>
      </c>
      <c r="AC22" s="322">
        <f t="shared" ref="AC22:AC24" si="21">W22*1.02</f>
        <v>167670.864</v>
      </c>
      <c r="AD22" s="323">
        <f t="shared" si="5"/>
        <v>2.4000000000000004</v>
      </c>
      <c r="AE22" s="90">
        <v>0.2</v>
      </c>
      <c r="AF22" s="324">
        <f>AC22*(AD22/12)</f>
        <v>33534.172800000008</v>
      </c>
      <c r="AG22" s="324">
        <f t="shared" si="6"/>
        <v>11401.618752000004</v>
      </c>
      <c r="AH22" s="324">
        <f t="shared" ref="AH22:AH24" si="22">AF22+AG22</f>
        <v>44935.79155200001</v>
      </c>
      <c r="AI22" s="322"/>
      <c r="AJ22" s="323">
        <f t="shared" si="7"/>
        <v>0</v>
      </c>
      <c r="AK22" s="90">
        <v>0</v>
      </c>
      <c r="AL22" s="324">
        <f>AI22*(AJ22/12)</f>
        <v>0</v>
      </c>
      <c r="AM22" s="324">
        <f t="shared" si="9"/>
        <v>0</v>
      </c>
      <c r="AN22" s="325">
        <f t="shared" si="10"/>
        <v>0</v>
      </c>
      <c r="AO22" s="217">
        <f t="shared" ref="AO22:AO24" si="23">P22+V22+AB22+AH22+AN22</f>
        <v>131969.64915200003</v>
      </c>
    </row>
    <row r="23" spans="1:78" outlineLevel="1" x14ac:dyDescent="0.3">
      <c r="A23" s="49" t="s">
        <v>90</v>
      </c>
      <c r="B23" s="50" t="s">
        <v>89</v>
      </c>
      <c r="C23" s="50"/>
      <c r="D23" s="50" t="s">
        <v>50</v>
      </c>
      <c r="E23" s="319">
        <v>0.34</v>
      </c>
      <c r="F23" s="318">
        <v>12</v>
      </c>
      <c r="G23" s="319"/>
      <c r="H23" s="319"/>
      <c r="I23" s="320">
        <v>1</v>
      </c>
      <c r="J23" s="532">
        <v>192300</v>
      </c>
      <c r="K23" s="322">
        <f>IF(AND($B$7="DHHS",J23&gt;'Stipends &amp; Salary Caps'!$B$22),'Stipends &amp; Salary Caps'!$B$22,IF(AND($B$7="PCORI",J23&gt;'Stipends &amp; Salary Caps'!$B$23),'Stipends &amp; Salary Caps'!$B$23,J23))</f>
        <v>192300</v>
      </c>
      <c r="L23" s="323">
        <f t="shared" si="11"/>
        <v>0.60000000000000009</v>
      </c>
      <c r="M23" s="90">
        <v>0.05</v>
      </c>
      <c r="N23" s="324">
        <f t="shared" si="12"/>
        <v>9615.0000000000018</v>
      </c>
      <c r="O23" s="324">
        <f>N23*E23</f>
        <v>3269.1000000000008</v>
      </c>
      <c r="P23" s="324">
        <f t="shared" si="13"/>
        <v>12884.100000000002</v>
      </c>
      <c r="Q23" s="322">
        <f t="shared" si="14"/>
        <v>196146</v>
      </c>
      <c r="R23" s="323">
        <f t="shared" si="15"/>
        <v>1.7999999999999998</v>
      </c>
      <c r="S23" s="90">
        <v>0.15</v>
      </c>
      <c r="T23" s="324">
        <f t="shared" si="16"/>
        <v>29421.899999999998</v>
      </c>
      <c r="U23" s="324">
        <f t="shared" si="17"/>
        <v>10003.446</v>
      </c>
      <c r="V23" s="325">
        <f t="shared" si="18"/>
        <v>39425.345999999998</v>
      </c>
      <c r="W23" s="324">
        <f t="shared" si="19"/>
        <v>200068.92</v>
      </c>
      <c r="X23" s="323">
        <f t="shared" ref="X23" si="24">$F23*$I23*Y23</f>
        <v>1.7999999999999998</v>
      </c>
      <c r="Y23" s="90">
        <v>0.15</v>
      </c>
      <c r="Z23" s="324">
        <f t="shared" si="20"/>
        <v>30010.338</v>
      </c>
      <c r="AA23" s="324">
        <f t="shared" ref="AA23" si="25">Z23*E23</f>
        <v>10203.514920000001</v>
      </c>
      <c r="AB23" s="324">
        <f t="shared" ref="AB23" si="26">Z23+AA23</f>
        <v>40213.852920000005</v>
      </c>
      <c r="AC23" s="322">
        <f t="shared" si="21"/>
        <v>204070.29840000003</v>
      </c>
      <c r="AD23" s="323">
        <f t="shared" ref="AD23" si="27">$F23*$I23*AE23</f>
        <v>1.2000000000000002</v>
      </c>
      <c r="AE23" s="90">
        <v>0.1</v>
      </c>
      <c r="AF23" s="324">
        <f>AC23*(AD23/12)</f>
        <v>20407.029840000007</v>
      </c>
      <c r="AG23" s="324">
        <f t="shared" ref="AG23" si="28">AF23*E23</f>
        <v>6938.3901456000031</v>
      </c>
      <c r="AH23" s="324">
        <f t="shared" si="22"/>
        <v>27345.419985600009</v>
      </c>
      <c r="AI23" s="322"/>
      <c r="AJ23" s="323">
        <f t="shared" ref="AJ23" si="29">$F23*$I23*AK23</f>
        <v>0</v>
      </c>
      <c r="AK23" s="90">
        <v>0</v>
      </c>
      <c r="AL23" s="324">
        <f>AI23*(AJ23/12)</f>
        <v>0</v>
      </c>
      <c r="AM23" s="324">
        <f t="shared" ref="AM23" si="30">AL23*E23</f>
        <v>0</v>
      </c>
      <c r="AN23" s="325">
        <f t="shared" ref="AN23" si="31">AL23+AM23</f>
        <v>0</v>
      </c>
      <c r="AO23" s="217">
        <f t="shared" si="23"/>
        <v>119868.71890560001</v>
      </c>
    </row>
    <row r="24" spans="1:78" outlineLevel="1" x14ac:dyDescent="0.3">
      <c r="A24" s="49" t="s">
        <v>91</v>
      </c>
      <c r="B24" s="50" t="s">
        <v>89</v>
      </c>
      <c r="C24" s="50"/>
      <c r="D24" s="50" t="s">
        <v>50</v>
      </c>
      <c r="E24" s="319">
        <f t="shared" ref="E24" si="32">VLOOKUP(D24,$A$10:$B$14,2,0)</f>
        <v>0.3</v>
      </c>
      <c r="F24" s="318">
        <v>12</v>
      </c>
      <c r="G24" s="319"/>
      <c r="H24" s="319"/>
      <c r="I24" s="320">
        <v>1</v>
      </c>
      <c r="J24" s="532">
        <v>200000</v>
      </c>
      <c r="K24" s="322">
        <v>0</v>
      </c>
      <c r="L24" s="323">
        <f t="shared" si="11"/>
        <v>2.4000000000000004</v>
      </c>
      <c r="M24" s="90">
        <v>0.2</v>
      </c>
      <c r="N24" s="324">
        <f t="shared" si="12"/>
        <v>0</v>
      </c>
      <c r="O24" s="324">
        <f t="shared" ref="O24" si="33">N24*E24</f>
        <v>0</v>
      </c>
      <c r="P24" s="324">
        <f t="shared" si="13"/>
        <v>0</v>
      </c>
      <c r="Q24" s="322">
        <f>(K24)*1.02</f>
        <v>0</v>
      </c>
      <c r="R24" s="323">
        <f t="shared" si="15"/>
        <v>2.4000000000000004</v>
      </c>
      <c r="S24" s="90">
        <v>0.2</v>
      </c>
      <c r="T24" s="324">
        <f t="shared" si="16"/>
        <v>0</v>
      </c>
      <c r="U24" s="324">
        <f t="shared" si="17"/>
        <v>0</v>
      </c>
      <c r="V24" s="325">
        <f t="shared" si="18"/>
        <v>0</v>
      </c>
      <c r="W24" s="324">
        <f t="shared" si="19"/>
        <v>0</v>
      </c>
      <c r="X24" s="323">
        <v>2.4</v>
      </c>
      <c r="Y24" s="90">
        <v>0.2</v>
      </c>
      <c r="Z24" s="324">
        <f t="shared" ref="Z24:Z31" si="34">W24*(X24/12)</f>
        <v>0</v>
      </c>
      <c r="AA24" s="324">
        <f t="shared" si="3"/>
        <v>0</v>
      </c>
      <c r="AB24" s="324">
        <f t="shared" si="4"/>
        <v>0</v>
      </c>
      <c r="AC24" s="322">
        <f t="shared" si="21"/>
        <v>0</v>
      </c>
      <c r="AD24" s="323">
        <f t="shared" si="5"/>
        <v>2.4000000000000004</v>
      </c>
      <c r="AE24" s="90">
        <v>0.2</v>
      </c>
      <c r="AF24" s="324">
        <f t="shared" ref="AF24:AF31" si="35">AC24*(AD24/12)</f>
        <v>0</v>
      </c>
      <c r="AG24" s="324">
        <f t="shared" si="6"/>
        <v>0</v>
      </c>
      <c r="AH24" s="324">
        <f t="shared" si="22"/>
        <v>0</v>
      </c>
      <c r="AI24" s="322"/>
      <c r="AJ24" s="323">
        <f t="shared" si="7"/>
        <v>0</v>
      </c>
      <c r="AK24" s="90">
        <v>0</v>
      </c>
      <c r="AL24" s="324">
        <f t="shared" si="8"/>
        <v>0</v>
      </c>
      <c r="AM24" s="324">
        <f t="shared" si="9"/>
        <v>0</v>
      </c>
      <c r="AN24" s="325">
        <f t="shared" si="10"/>
        <v>0</v>
      </c>
      <c r="AO24" s="217">
        <f t="shared" si="23"/>
        <v>0</v>
      </c>
    </row>
    <row r="25" spans="1:78" hidden="1" outlineLevel="1" x14ac:dyDescent="0.3">
      <c r="A25" s="49"/>
      <c r="B25" s="50"/>
      <c r="C25" s="50"/>
      <c r="D25" s="50" t="s">
        <v>50</v>
      </c>
      <c r="E25" s="319">
        <f t="shared" ref="E25:E31" si="36">VLOOKUP(D25,$A$10:$B$14,2,0)</f>
        <v>0.3</v>
      </c>
      <c r="F25" s="318">
        <v>12</v>
      </c>
      <c r="G25" s="319"/>
      <c r="H25" s="319"/>
      <c r="I25" s="320">
        <v>1</v>
      </c>
      <c r="J25" s="532"/>
      <c r="K25" s="322">
        <f>IF(AND($B$7="DHHS",J25&gt;'Stipends &amp; Salary Caps'!$B$22),'Stipends &amp; Salary Caps'!$B$22,IF(AND($B$7="PCORI",J25&gt;'Stipends &amp; Salary Caps'!$B$23),'Stipends &amp; Salary Caps'!$B$23,J25))</f>
        <v>0</v>
      </c>
      <c r="L25" s="323">
        <f t="shared" ref="L25:L31" si="37">$F25*$I25*M25</f>
        <v>0</v>
      </c>
      <c r="M25" s="90"/>
      <c r="N25" s="324">
        <f t="shared" ref="N25:N45" si="38">K25*(L25/12)</f>
        <v>0</v>
      </c>
      <c r="O25" s="324">
        <f t="shared" ref="O25:O31" si="39">N25*E25</f>
        <v>0</v>
      </c>
      <c r="P25" s="324">
        <f t="shared" ref="P25:P26" si="40">N25+O25</f>
        <v>0</v>
      </c>
      <c r="Q25" s="322">
        <f t="shared" ref="Q25:Q30" si="41">K25</f>
        <v>0</v>
      </c>
      <c r="R25" s="323">
        <f t="shared" ref="R25:R31" si="42">$F25*$I25*S25</f>
        <v>0</v>
      </c>
      <c r="S25" s="90">
        <f t="shared" ref="S25:S45" si="43">M25</f>
        <v>0</v>
      </c>
      <c r="T25" s="324">
        <f t="shared" ref="T25:T31" si="44">Q25*(R25/12)</f>
        <v>0</v>
      </c>
      <c r="U25" s="324">
        <f t="shared" ref="U25:U31" si="45">T25*E25</f>
        <v>0</v>
      </c>
      <c r="V25" s="325">
        <f t="shared" ref="V25:V30" si="46">T25+U25</f>
        <v>0</v>
      </c>
      <c r="W25" s="324">
        <f t="shared" ref="W25:W31" si="47">K25</f>
        <v>0</v>
      </c>
      <c r="X25" s="323">
        <f t="shared" si="2"/>
        <v>0</v>
      </c>
      <c r="Y25" s="90">
        <v>0</v>
      </c>
      <c r="Z25" s="324">
        <f t="shared" si="34"/>
        <v>0</v>
      </c>
      <c r="AA25" s="324">
        <f t="shared" si="3"/>
        <v>0</v>
      </c>
      <c r="AB25" s="324">
        <f t="shared" si="4"/>
        <v>0</v>
      </c>
      <c r="AC25" s="322">
        <f t="shared" ref="AC25:AC31" si="48">K25</f>
        <v>0</v>
      </c>
      <c r="AD25" s="323">
        <f t="shared" si="5"/>
        <v>0</v>
      </c>
      <c r="AE25" s="90">
        <f t="shared" ref="AE25:AE45" si="49">Y25</f>
        <v>0</v>
      </c>
      <c r="AF25" s="324">
        <f t="shared" si="35"/>
        <v>0</v>
      </c>
      <c r="AG25" s="324">
        <f t="shared" si="6"/>
        <v>0</v>
      </c>
      <c r="AH25" s="324">
        <f t="shared" ref="AH25:AH30" si="50">AF25+AG25</f>
        <v>0</v>
      </c>
      <c r="AI25" s="322"/>
      <c r="AJ25" s="323">
        <f t="shared" si="7"/>
        <v>0</v>
      </c>
      <c r="AK25" s="90">
        <f t="shared" ref="AK25:AK45" si="51">AE25</f>
        <v>0</v>
      </c>
      <c r="AL25" s="324">
        <f t="shared" si="8"/>
        <v>0</v>
      </c>
      <c r="AM25" s="324">
        <f t="shared" si="9"/>
        <v>0</v>
      </c>
      <c r="AN25" s="325">
        <f t="shared" si="10"/>
        <v>0</v>
      </c>
      <c r="AO25" s="217">
        <f t="shared" ref="AO25:AO31" si="52">P25+V25+AB25+AH25+AN25</f>
        <v>0</v>
      </c>
    </row>
    <row r="26" spans="1:78" hidden="1" outlineLevel="1" x14ac:dyDescent="0.3">
      <c r="A26" s="49"/>
      <c r="B26" s="50"/>
      <c r="C26" s="50"/>
      <c r="D26" s="50" t="s">
        <v>50</v>
      </c>
      <c r="E26" s="319">
        <f t="shared" si="36"/>
        <v>0.3</v>
      </c>
      <c r="F26" s="318">
        <v>12</v>
      </c>
      <c r="G26" s="319"/>
      <c r="H26" s="319"/>
      <c r="I26" s="320">
        <v>1</v>
      </c>
      <c r="J26" s="532"/>
      <c r="K26" s="322">
        <f>IF(AND($B$7="DHHS",J26&gt;'Stipends &amp; Salary Caps'!$B$22),'Stipends &amp; Salary Caps'!$B$22,IF(AND($B$7="PCORI",J26&gt;'Stipends &amp; Salary Caps'!$B$23),'Stipends &amp; Salary Caps'!$B$23,J26))</f>
        <v>0</v>
      </c>
      <c r="L26" s="323">
        <f t="shared" si="37"/>
        <v>0</v>
      </c>
      <c r="M26" s="90"/>
      <c r="N26" s="324">
        <f t="shared" si="38"/>
        <v>0</v>
      </c>
      <c r="O26" s="324">
        <f t="shared" si="39"/>
        <v>0</v>
      </c>
      <c r="P26" s="324">
        <f t="shared" si="40"/>
        <v>0</v>
      </c>
      <c r="Q26" s="322">
        <f t="shared" si="41"/>
        <v>0</v>
      </c>
      <c r="R26" s="323">
        <f t="shared" si="42"/>
        <v>0</v>
      </c>
      <c r="S26" s="90">
        <f t="shared" si="43"/>
        <v>0</v>
      </c>
      <c r="T26" s="324">
        <f t="shared" si="44"/>
        <v>0</v>
      </c>
      <c r="U26" s="324">
        <f t="shared" si="45"/>
        <v>0</v>
      </c>
      <c r="V26" s="325">
        <f t="shared" si="46"/>
        <v>0</v>
      </c>
      <c r="W26" s="324">
        <f t="shared" si="47"/>
        <v>0</v>
      </c>
      <c r="X26" s="323">
        <f t="shared" si="2"/>
        <v>0</v>
      </c>
      <c r="Y26" s="90">
        <f t="shared" ref="Y26:Y45" si="53">S26</f>
        <v>0</v>
      </c>
      <c r="Z26" s="324">
        <f t="shared" si="34"/>
        <v>0</v>
      </c>
      <c r="AA26" s="324">
        <f t="shared" si="3"/>
        <v>0</v>
      </c>
      <c r="AB26" s="324">
        <f t="shared" si="4"/>
        <v>0</v>
      </c>
      <c r="AC26" s="322">
        <f t="shared" si="48"/>
        <v>0</v>
      </c>
      <c r="AD26" s="323">
        <f t="shared" si="5"/>
        <v>0</v>
      </c>
      <c r="AE26" s="90">
        <f t="shared" si="49"/>
        <v>0</v>
      </c>
      <c r="AF26" s="324">
        <f t="shared" si="35"/>
        <v>0</v>
      </c>
      <c r="AG26" s="324">
        <f t="shared" si="6"/>
        <v>0</v>
      </c>
      <c r="AH26" s="324">
        <f t="shared" si="50"/>
        <v>0</v>
      </c>
      <c r="AI26" s="322"/>
      <c r="AJ26" s="323">
        <f t="shared" si="7"/>
        <v>0</v>
      </c>
      <c r="AK26" s="90">
        <f t="shared" si="51"/>
        <v>0</v>
      </c>
      <c r="AL26" s="324">
        <f t="shared" si="8"/>
        <v>0</v>
      </c>
      <c r="AM26" s="324">
        <f t="shared" si="9"/>
        <v>0</v>
      </c>
      <c r="AN26" s="325">
        <f t="shared" si="10"/>
        <v>0</v>
      </c>
      <c r="AO26" s="217">
        <f t="shared" si="52"/>
        <v>0</v>
      </c>
    </row>
    <row r="27" spans="1:78" hidden="1" outlineLevel="1" x14ac:dyDescent="0.3">
      <c r="A27" s="49"/>
      <c r="B27" s="50"/>
      <c r="C27" s="50"/>
      <c r="D27" s="50" t="s">
        <v>50</v>
      </c>
      <c r="E27" s="319">
        <f t="shared" si="36"/>
        <v>0.3</v>
      </c>
      <c r="F27" s="318">
        <v>12</v>
      </c>
      <c r="G27" s="319"/>
      <c r="H27" s="319"/>
      <c r="I27" s="320">
        <v>1</v>
      </c>
      <c r="J27" s="532"/>
      <c r="K27" s="322">
        <f>IF(AND($B$7="DHHS",J27&gt;'Stipends &amp; Salary Caps'!$B$22),'Stipends &amp; Salary Caps'!$B$22,IF(AND($B$7="PCORI",J27&gt;'Stipends &amp; Salary Caps'!$B$23),'Stipends &amp; Salary Caps'!$B$23,J27))</f>
        <v>0</v>
      </c>
      <c r="L27" s="323">
        <f t="shared" si="37"/>
        <v>0</v>
      </c>
      <c r="M27" s="90"/>
      <c r="N27" s="324">
        <f t="shared" si="38"/>
        <v>0</v>
      </c>
      <c r="O27" s="324">
        <f t="shared" si="39"/>
        <v>0</v>
      </c>
      <c r="P27" s="324">
        <f t="shared" ref="P27:P45" si="54">N27+O27</f>
        <v>0</v>
      </c>
      <c r="Q27" s="322">
        <f t="shared" si="41"/>
        <v>0</v>
      </c>
      <c r="R27" s="323">
        <f t="shared" si="42"/>
        <v>0</v>
      </c>
      <c r="S27" s="90">
        <f t="shared" si="43"/>
        <v>0</v>
      </c>
      <c r="T27" s="324">
        <f t="shared" si="44"/>
        <v>0</v>
      </c>
      <c r="U27" s="324">
        <f t="shared" si="45"/>
        <v>0</v>
      </c>
      <c r="V27" s="325">
        <f t="shared" si="46"/>
        <v>0</v>
      </c>
      <c r="W27" s="324">
        <f t="shared" si="47"/>
        <v>0</v>
      </c>
      <c r="X27" s="323">
        <f t="shared" si="2"/>
        <v>0</v>
      </c>
      <c r="Y27" s="90">
        <f t="shared" si="53"/>
        <v>0</v>
      </c>
      <c r="Z27" s="324">
        <f t="shared" si="34"/>
        <v>0</v>
      </c>
      <c r="AA27" s="324">
        <f t="shared" si="3"/>
        <v>0</v>
      </c>
      <c r="AB27" s="324">
        <f t="shared" si="4"/>
        <v>0</v>
      </c>
      <c r="AC27" s="322">
        <f t="shared" si="48"/>
        <v>0</v>
      </c>
      <c r="AD27" s="323">
        <f t="shared" si="5"/>
        <v>0</v>
      </c>
      <c r="AE27" s="90">
        <f t="shared" si="49"/>
        <v>0</v>
      </c>
      <c r="AF27" s="324">
        <f t="shared" si="35"/>
        <v>0</v>
      </c>
      <c r="AG27" s="324">
        <f t="shared" si="6"/>
        <v>0</v>
      </c>
      <c r="AH27" s="324">
        <f t="shared" si="50"/>
        <v>0</v>
      </c>
      <c r="AI27" s="322"/>
      <c r="AJ27" s="323">
        <f t="shared" si="7"/>
        <v>0</v>
      </c>
      <c r="AK27" s="90">
        <f t="shared" si="51"/>
        <v>0</v>
      </c>
      <c r="AL27" s="324">
        <f t="shared" si="8"/>
        <v>0</v>
      </c>
      <c r="AM27" s="324">
        <f t="shared" si="9"/>
        <v>0</v>
      </c>
      <c r="AN27" s="325">
        <f t="shared" si="10"/>
        <v>0</v>
      </c>
      <c r="AO27" s="217">
        <f t="shared" si="52"/>
        <v>0</v>
      </c>
    </row>
    <row r="28" spans="1:78" hidden="1" outlineLevel="1" x14ac:dyDescent="0.3">
      <c r="A28" s="49"/>
      <c r="B28" s="50"/>
      <c r="C28" s="50"/>
      <c r="D28" s="50" t="s">
        <v>50</v>
      </c>
      <c r="E28" s="319">
        <f t="shared" si="36"/>
        <v>0.3</v>
      </c>
      <c r="F28" s="318">
        <v>12</v>
      </c>
      <c r="G28" s="319"/>
      <c r="H28" s="319"/>
      <c r="I28" s="320">
        <v>1</v>
      </c>
      <c r="J28" s="532"/>
      <c r="K28" s="322">
        <f>IF(AND($B$7="DHHS",J28&gt;'Stipends &amp; Salary Caps'!$B$22),'Stipends &amp; Salary Caps'!$B$22,IF(AND($B$7="PCORI",J28&gt;'Stipends &amp; Salary Caps'!$B$23),'Stipends &amp; Salary Caps'!$B$23,J28))</f>
        <v>0</v>
      </c>
      <c r="L28" s="323">
        <f t="shared" si="37"/>
        <v>0</v>
      </c>
      <c r="M28" s="90"/>
      <c r="N28" s="324">
        <f t="shared" si="38"/>
        <v>0</v>
      </c>
      <c r="O28" s="324">
        <f t="shared" si="39"/>
        <v>0</v>
      </c>
      <c r="P28" s="324">
        <f t="shared" si="54"/>
        <v>0</v>
      </c>
      <c r="Q28" s="322">
        <f t="shared" si="41"/>
        <v>0</v>
      </c>
      <c r="R28" s="323">
        <f t="shared" si="42"/>
        <v>0</v>
      </c>
      <c r="S28" s="90">
        <f t="shared" si="43"/>
        <v>0</v>
      </c>
      <c r="T28" s="324">
        <f t="shared" si="44"/>
        <v>0</v>
      </c>
      <c r="U28" s="324">
        <f t="shared" si="45"/>
        <v>0</v>
      </c>
      <c r="V28" s="325">
        <f t="shared" si="46"/>
        <v>0</v>
      </c>
      <c r="W28" s="324">
        <f t="shared" si="47"/>
        <v>0</v>
      </c>
      <c r="X28" s="323">
        <f t="shared" si="2"/>
        <v>0</v>
      </c>
      <c r="Y28" s="90">
        <f t="shared" si="53"/>
        <v>0</v>
      </c>
      <c r="Z28" s="324">
        <f t="shared" si="34"/>
        <v>0</v>
      </c>
      <c r="AA28" s="324">
        <f t="shared" si="3"/>
        <v>0</v>
      </c>
      <c r="AB28" s="324">
        <f t="shared" si="4"/>
        <v>0</v>
      </c>
      <c r="AC28" s="322">
        <f t="shared" si="48"/>
        <v>0</v>
      </c>
      <c r="AD28" s="323">
        <f t="shared" si="5"/>
        <v>0</v>
      </c>
      <c r="AE28" s="90">
        <f t="shared" si="49"/>
        <v>0</v>
      </c>
      <c r="AF28" s="324">
        <f t="shared" si="35"/>
        <v>0</v>
      </c>
      <c r="AG28" s="324">
        <f t="shared" si="6"/>
        <v>0</v>
      </c>
      <c r="AH28" s="324">
        <f t="shared" si="50"/>
        <v>0</v>
      </c>
      <c r="AI28" s="322"/>
      <c r="AJ28" s="323">
        <f t="shared" si="7"/>
        <v>0</v>
      </c>
      <c r="AK28" s="90">
        <f t="shared" si="51"/>
        <v>0</v>
      </c>
      <c r="AL28" s="324">
        <f>AI28*(AJ28/12)</f>
        <v>0</v>
      </c>
      <c r="AM28" s="324">
        <f t="shared" si="9"/>
        <v>0</v>
      </c>
      <c r="AN28" s="325">
        <f t="shared" si="10"/>
        <v>0</v>
      </c>
      <c r="AO28" s="217">
        <f t="shared" si="52"/>
        <v>0</v>
      </c>
    </row>
    <row r="29" spans="1:78" hidden="1" outlineLevel="1" x14ac:dyDescent="0.3">
      <c r="A29" s="49"/>
      <c r="B29" s="50"/>
      <c r="C29" s="50"/>
      <c r="D29" s="50" t="s">
        <v>50</v>
      </c>
      <c r="E29" s="319">
        <f t="shared" si="36"/>
        <v>0.3</v>
      </c>
      <c r="F29" s="318">
        <v>12</v>
      </c>
      <c r="G29" s="319"/>
      <c r="H29" s="319"/>
      <c r="I29" s="320">
        <v>1</v>
      </c>
      <c r="J29" s="532"/>
      <c r="K29" s="322">
        <f>IF(AND($B$7="DHHS",J29&gt;'Stipends &amp; Salary Caps'!$B$22),'Stipends &amp; Salary Caps'!$B$22,IF(AND($B$7="PCORI",J29&gt;'Stipends &amp; Salary Caps'!$B$23),'Stipends &amp; Salary Caps'!$B$23,J29))</f>
        <v>0</v>
      </c>
      <c r="L29" s="323">
        <f t="shared" si="37"/>
        <v>0</v>
      </c>
      <c r="M29" s="90"/>
      <c r="N29" s="324">
        <f t="shared" si="38"/>
        <v>0</v>
      </c>
      <c r="O29" s="324">
        <f t="shared" si="39"/>
        <v>0</v>
      </c>
      <c r="P29" s="324">
        <f t="shared" si="54"/>
        <v>0</v>
      </c>
      <c r="Q29" s="322">
        <f t="shared" si="41"/>
        <v>0</v>
      </c>
      <c r="R29" s="323">
        <f t="shared" si="42"/>
        <v>0</v>
      </c>
      <c r="S29" s="90">
        <f t="shared" si="43"/>
        <v>0</v>
      </c>
      <c r="T29" s="324">
        <f t="shared" si="44"/>
        <v>0</v>
      </c>
      <c r="U29" s="324">
        <f t="shared" si="45"/>
        <v>0</v>
      </c>
      <c r="V29" s="325">
        <f t="shared" si="46"/>
        <v>0</v>
      </c>
      <c r="W29" s="324">
        <f t="shared" si="47"/>
        <v>0</v>
      </c>
      <c r="X29" s="323">
        <f t="shared" si="2"/>
        <v>0</v>
      </c>
      <c r="Y29" s="90">
        <f t="shared" si="53"/>
        <v>0</v>
      </c>
      <c r="Z29" s="324">
        <f t="shared" si="34"/>
        <v>0</v>
      </c>
      <c r="AA29" s="324">
        <f t="shared" si="3"/>
        <v>0</v>
      </c>
      <c r="AB29" s="324">
        <f t="shared" si="4"/>
        <v>0</v>
      </c>
      <c r="AC29" s="322">
        <f t="shared" si="48"/>
        <v>0</v>
      </c>
      <c r="AD29" s="323">
        <f t="shared" si="5"/>
        <v>0</v>
      </c>
      <c r="AE29" s="90">
        <f t="shared" si="49"/>
        <v>0</v>
      </c>
      <c r="AF29" s="324">
        <f t="shared" si="35"/>
        <v>0</v>
      </c>
      <c r="AG29" s="324">
        <f t="shared" si="6"/>
        <v>0</v>
      </c>
      <c r="AH29" s="324">
        <f t="shared" si="50"/>
        <v>0</v>
      </c>
      <c r="AI29" s="322"/>
      <c r="AJ29" s="323">
        <f t="shared" si="7"/>
        <v>0</v>
      </c>
      <c r="AK29" s="90">
        <f t="shared" si="51"/>
        <v>0</v>
      </c>
      <c r="AL29" s="324">
        <f t="shared" si="8"/>
        <v>0</v>
      </c>
      <c r="AM29" s="324">
        <f t="shared" si="9"/>
        <v>0</v>
      </c>
      <c r="AN29" s="325">
        <f t="shared" si="10"/>
        <v>0</v>
      </c>
      <c r="AO29" s="217">
        <f t="shared" si="52"/>
        <v>0</v>
      </c>
    </row>
    <row r="30" spans="1:78" hidden="1" outlineLevel="1" x14ac:dyDescent="0.3">
      <c r="A30" s="49"/>
      <c r="B30" s="50"/>
      <c r="C30" s="50"/>
      <c r="D30" s="50" t="s">
        <v>50</v>
      </c>
      <c r="E30" s="319">
        <f t="shared" si="36"/>
        <v>0.3</v>
      </c>
      <c r="F30" s="318">
        <v>12</v>
      </c>
      <c r="G30" s="319"/>
      <c r="H30" s="319"/>
      <c r="I30" s="320">
        <v>1</v>
      </c>
      <c r="J30" s="532"/>
      <c r="K30" s="322">
        <f>IF(AND($B$7="DHHS",J30&gt;'Stipends &amp; Salary Caps'!$B$22),'Stipends &amp; Salary Caps'!$B$22,IF(AND($B$7="PCORI",J30&gt;'Stipends &amp; Salary Caps'!$B$23),'Stipends &amp; Salary Caps'!$B$23,J30))</f>
        <v>0</v>
      </c>
      <c r="L30" s="323">
        <f t="shared" si="37"/>
        <v>0</v>
      </c>
      <c r="M30" s="90"/>
      <c r="N30" s="324">
        <f t="shared" si="38"/>
        <v>0</v>
      </c>
      <c r="O30" s="324">
        <f t="shared" si="39"/>
        <v>0</v>
      </c>
      <c r="P30" s="324">
        <f t="shared" si="54"/>
        <v>0</v>
      </c>
      <c r="Q30" s="322">
        <f t="shared" si="41"/>
        <v>0</v>
      </c>
      <c r="R30" s="323">
        <f t="shared" si="42"/>
        <v>0</v>
      </c>
      <c r="S30" s="90">
        <f t="shared" si="43"/>
        <v>0</v>
      </c>
      <c r="T30" s="324">
        <f t="shared" si="44"/>
        <v>0</v>
      </c>
      <c r="U30" s="324">
        <f t="shared" si="45"/>
        <v>0</v>
      </c>
      <c r="V30" s="325">
        <f t="shared" si="46"/>
        <v>0</v>
      </c>
      <c r="W30" s="324">
        <f t="shared" si="47"/>
        <v>0</v>
      </c>
      <c r="X30" s="323">
        <f t="shared" si="2"/>
        <v>0</v>
      </c>
      <c r="Y30" s="90">
        <f t="shared" si="53"/>
        <v>0</v>
      </c>
      <c r="Z30" s="324">
        <f t="shared" si="34"/>
        <v>0</v>
      </c>
      <c r="AA30" s="324">
        <f t="shared" si="3"/>
        <v>0</v>
      </c>
      <c r="AB30" s="324">
        <f t="shared" si="4"/>
        <v>0</v>
      </c>
      <c r="AC30" s="322">
        <f t="shared" si="48"/>
        <v>0</v>
      </c>
      <c r="AD30" s="323">
        <f t="shared" si="5"/>
        <v>0</v>
      </c>
      <c r="AE30" s="90">
        <f t="shared" si="49"/>
        <v>0</v>
      </c>
      <c r="AF30" s="324">
        <f t="shared" si="35"/>
        <v>0</v>
      </c>
      <c r="AG30" s="324">
        <f t="shared" si="6"/>
        <v>0</v>
      </c>
      <c r="AH30" s="324">
        <f t="shared" si="50"/>
        <v>0</v>
      </c>
      <c r="AI30" s="322"/>
      <c r="AJ30" s="323">
        <f t="shared" si="7"/>
        <v>0</v>
      </c>
      <c r="AK30" s="90">
        <f t="shared" si="51"/>
        <v>0</v>
      </c>
      <c r="AL30" s="324">
        <f t="shared" si="8"/>
        <v>0</v>
      </c>
      <c r="AM30" s="324">
        <f t="shared" si="9"/>
        <v>0</v>
      </c>
      <c r="AN30" s="325">
        <f t="shared" si="10"/>
        <v>0</v>
      </c>
      <c r="AO30" s="217">
        <f t="shared" si="52"/>
        <v>0</v>
      </c>
    </row>
    <row r="31" spans="1:78" hidden="1" outlineLevel="1" x14ac:dyDescent="0.3">
      <c r="A31" s="49"/>
      <c r="B31" s="50"/>
      <c r="C31" s="50"/>
      <c r="D31" s="50" t="s">
        <v>50</v>
      </c>
      <c r="E31" s="354">
        <f t="shared" si="36"/>
        <v>0.3</v>
      </c>
      <c r="F31" s="355">
        <v>12</v>
      </c>
      <c r="G31" s="354"/>
      <c r="H31" s="354"/>
      <c r="I31" s="356">
        <v>1</v>
      </c>
      <c r="J31" s="532"/>
      <c r="K31" s="322">
        <f>IF(AND($B$7="DHHS",J31&gt;'Stipends &amp; Salary Caps'!$B$22),'Stipends &amp; Salary Caps'!$B$22,IF(AND($B$7="PCORI",J31&gt;'Stipends &amp; Salary Caps'!$B$23),'Stipends &amp; Salary Caps'!$B$23,J31))</f>
        <v>0</v>
      </c>
      <c r="L31" s="323">
        <f t="shared" si="37"/>
        <v>0</v>
      </c>
      <c r="M31" s="90"/>
      <c r="N31" s="358">
        <f t="shared" si="38"/>
        <v>0</v>
      </c>
      <c r="O31" s="358">
        <f t="shared" si="39"/>
        <v>0</v>
      </c>
      <c r="P31" s="358">
        <f t="shared" si="54"/>
        <v>0</v>
      </c>
      <c r="Q31" s="357">
        <f>K31</f>
        <v>0</v>
      </c>
      <c r="R31" s="323">
        <f t="shared" si="42"/>
        <v>0</v>
      </c>
      <c r="S31" s="90">
        <f t="shared" si="43"/>
        <v>0</v>
      </c>
      <c r="T31" s="358">
        <f t="shared" si="44"/>
        <v>0</v>
      </c>
      <c r="U31" s="358">
        <f t="shared" si="45"/>
        <v>0</v>
      </c>
      <c r="V31" s="359">
        <f t="shared" ref="V31" si="55">T31+U31</f>
        <v>0</v>
      </c>
      <c r="W31" s="358">
        <f t="shared" si="47"/>
        <v>0</v>
      </c>
      <c r="X31" s="323">
        <f t="shared" si="2"/>
        <v>0</v>
      </c>
      <c r="Y31" s="90">
        <f t="shared" si="53"/>
        <v>0</v>
      </c>
      <c r="Z31" s="358">
        <f t="shared" si="34"/>
        <v>0</v>
      </c>
      <c r="AA31" s="358">
        <f t="shared" si="3"/>
        <v>0</v>
      </c>
      <c r="AB31" s="358">
        <f t="shared" ref="AB31" si="56">Z31+AA31</f>
        <v>0</v>
      </c>
      <c r="AC31" s="357">
        <f t="shared" si="48"/>
        <v>0</v>
      </c>
      <c r="AD31" s="323">
        <f t="shared" si="5"/>
        <v>0</v>
      </c>
      <c r="AE31" s="90">
        <f t="shared" si="49"/>
        <v>0</v>
      </c>
      <c r="AF31" s="358">
        <f t="shared" si="35"/>
        <v>0</v>
      </c>
      <c r="AG31" s="358">
        <f t="shared" si="6"/>
        <v>0</v>
      </c>
      <c r="AH31" s="358">
        <f t="shared" ref="AH31" si="57">AF31+AG31</f>
        <v>0</v>
      </c>
      <c r="AI31" s="357"/>
      <c r="AJ31" s="323">
        <f t="shared" si="7"/>
        <v>0</v>
      </c>
      <c r="AK31" s="353">
        <f t="shared" si="51"/>
        <v>0</v>
      </c>
      <c r="AL31" s="358">
        <f t="shared" si="8"/>
        <v>0</v>
      </c>
      <c r="AM31" s="358">
        <f t="shared" si="9"/>
        <v>0</v>
      </c>
      <c r="AN31" s="359">
        <f t="shared" ref="AN31" si="58">AL31+AM31</f>
        <v>0</v>
      </c>
      <c r="AO31" s="217">
        <f t="shared" si="52"/>
        <v>0</v>
      </c>
    </row>
    <row r="32" spans="1:78" s="5" customFormat="1" ht="15" outlineLevel="1" thickBot="1" x14ac:dyDescent="0.35">
      <c r="A32" s="293" t="s">
        <v>92</v>
      </c>
      <c r="B32" s="294"/>
      <c r="C32" s="294"/>
      <c r="D32" s="294"/>
      <c r="E32" s="294"/>
      <c r="F32" s="294"/>
      <c r="G32" s="294"/>
      <c r="H32" s="294"/>
      <c r="I32" s="294"/>
      <c r="J32" s="533"/>
      <c r="K32" s="295"/>
      <c r="L32" s="296"/>
      <c r="M32" s="297"/>
      <c r="N32" s="298">
        <f>SUM(N21:N31)</f>
        <v>40728.900000000009</v>
      </c>
      <c r="O32" s="298">
        <f>SUM(O21:O31)</f>
        <v>11294.297000000002</v>
      </c>
      <c r="P32" s="299">
        <f>SUM(P21:P31)</f>
        <v>52023.197000000015</v>
      </c>
      <c r="Q32" s="295"/>
      <c r="R32" s="296"/>
      <c r="S32" s="297"/>
      <c r="T32" s="298">
        <f>SUM(T21:T31)</f>
        <v>89113.167000000001</v>
      </c>
      <c r="U32" s="298">
        <f>SUM(U21:U31)</f>
        <v>26391.577410000002</v>
      </c>
      <c r="V32" s="300">
        <f>SUM(V21:V31)</f>
        <v>115504.74440999998</v>
      </c>
      <c r="W32" s="299"/>
      <c r="X32" s="296"/>
      <c r="Y32" s="296"/>
      <c r="Z32" s="298">
        <f>SUM(Z21:Z31)</f>
        <v>99114.59034000001</v>
      </c>
      <c r="AA32" s="298">
        <f>SUM(AA21:AA31)</f>
        <v>29713.923358200005</v>
      </c>
      <c r="AB32" s="299">
        <f>SUM(AB21:AB31)</f>
        <v>128828.51369820003</v>
      </c>
      <c r="AC32" s="295"/>
      <c r="AD32" s="296"/>
      <c r="AE32" s="297"/>
      <c r="AF32" s="298">
        <f>SUM(AF21:AF31)</f>
        <v>90893.367226800008</v>
      </c>
      <c r="AG32" s="298">
        <f>SUM(AG21:AG31)</f>
        <v>26839.006752564008</v>
      </c>
      <c r="AH32" s="299">
        <f>SUM(AH21:AH31)</f>
        <v>117732.37397936401</v>
      </c>
      <c r="AI32" s="295"/>
      <c r="AJ32" s="296"/>
      <c r="AK32" s="297"/>
      <c r="AL32" s="298">
        <f>SUM(AL21:AL31)</f>
        <v>0</v>
      </c>
      <c r="AM32" s="298">
        <f>SUM(AM21:AM31)</f>
        <v>0</v>
      </c>
      <c r="AN32" s="300">
        <f>SUM(AN21:AN31)</f>
        <v>0</v>
      </c>
      <c r="AO32" s="216">
        <f>SUM(AO21:AO31)</f>
        <v>414088.82908756402</v>
      </c>
      <c r="AP32" s="638"/>
      <c r="AQ32" s="638"/>
      <c r="AR32" s="638"/>
      <c r="AS32" s="638"/>
      <c r="AT32" s="638"/>
      <c r="AU32" s="638"/>
      <c r="AV32" s="638"/>
      <c r="AW32" s="638"/>
      <c r="AX32" s="638"/>
      <c r="AY32" s="638"/>
      <c r="AZ32" s="638"/>
      <c r="BA32" s="638"/>
      <c r="BB32" s="638"/>
      <c r="BC32" s="638"/>
      <c r="BD32" s="638"/>
      <c r="BE32" s="638"/>
      <c r="BF32" s="638"/>
      <c r="BG32" s="638"/>
      <c r="BH32" s="638"/>
      <c r="BI32" s="638"/>
      <c r="BJ32" s="638"/>
      <c r="BK32" s="638"/>
      <c r="BL32" s="638"/>
      <c r="BM32" s="638"/>
      <c r="BN32" s="638"/>
      <c r="BO32" s="638"/>
    </row>
    <row r="33" spans="1:42" outlineLevel="1" x14ac:dyDescent="0.3">
      <c r="A33" s="14" t="s">
        <v>93</v>
      </c>
      <c r="B33" s="17"/>
      <c r="C33" s="17"/>
      <c r="D33" s="1"/>
      <c r="E33" s="360"/>
      <c r="F33" s="361"/>
      <c r="G33" s="360"/>
      <c r="H33" s="360"/>
      <c r="I33" s="362"/>
      <c r="J33" s="534"/>
      <c r="K33" s="363"/>
      <c r="L33" s="364"/>
      <c r="M33" s="73"/>
      <c r="N33" s="365"/>
      <c r="O33" s="365"/>
      <c r="P33" s="365"/>
      <c r="Q33" s="363"/>
      <c r="R33" s="364"/>
      <c r="S33" s="73"/>
      <c r="T33" s="365"/>
      <c r="U33" s="365"/>
      <c r="V33" s="366"/>
      <c r="W33" s="365"/>
      <c r="X33" s="364"/>
      <c r="Y33" s="73"/>
      <c r="Z33" s="365"/>
      <c r="AA33" s="365"/>
      <c r="AB33" s="365"/>
      <c r="AC33" s="363"/>
      <c r="AD33" s="364"/>
      <c r="AE33" s="73"/>
      <c r="AF33" s="365"/>
      <c r="AG33" s="365"/>
      <c r="AH33" s="365"/>
      <c r="AI33" s="363"/>
      <c r="AJ33" s="364"/>
      <c r="AK33" s="73"/>
      <c r="AL33" s="365"/>
      <c r="AM33" s="365"/>
      <c r="AN33" s="366"/>
      <c r="AO33" s="222"/>
      <c r="AP33" s="5"/>
    </row>
    <row r="34" spans="1:42" ht="15" customHeight="1" outlineLevel="1" x14ac:dyDescent="0.3">
      <c r="A34" s="49" t="s">
        <v>94</v>
      </c>
      <c r="B34" s="50" t="s">
        <v>95</v>
      </c>
      <c r="C34" s="50"/>
      <c r="D34" s="50" t="s">
        <v>58</v>
      </c>
      <c r="E34" s="319">
        <v>0.3</v>
      </c>
      <c r="F34" s="318">
        <v>12</v>
      </c>
      <c r="G34" s="319"/>
      <c r="H34" s="319"/>
      <c r="I34" s="320">
        <v>1</v>
      </c>
      <c r="J34" s="532">
        <v>100000</v>
      </c>
      <c r="K34" s="326">
        <f>IF(D34="Grad Student",56000,IF(D34="Post-Doc",VLOOKUP(C34,'Stipends &amp; Salary Caps'!$A$2:$B$10,2,1),'Primary Site'!J34))</f>
        <v>100000</v>
      </c>
      <c r="L34" s="323">
        <f>$F34*$I34*M34</f>
        <v>0.60000000000000009</v>
      </c>
      <c r="M34" s="90">
        <v>0.05</v>
      </c>
      <c r="N34" s="324">
        <f>K34*(L34/12)</f>
        <v>5000.0000000000009</v>
      </c>
      <c r="O34" s="324">
        <f t="shared" ref="O34:O35" si="59">N34*E34</f>
        <v>1500.0000000000002</v>
      </c>
      <c r="P34" s="324">
        <f>N34+O34</f>
        <v>6500.0000000000009</v>
      </c>
      <c r="Q34" s="326">
        <f>K34*1.02</f>
        <v>102000</v>
      </c>
      <c r="R34" s="323">
        <f t="shared" ref="R34:R36" si="60">$F34*$I34*S34</f>
        <v>2.4000000000000004</v>
      </c>
      <c r="S34" s="90">
        <v>0.2</v>
      </c>
      <c r="T34" s="324">
        <f t="shared" ref="T34:T36" si="61">Q34*(R34/12)</f>
        <v>20400.000000000004</v>
      </c>
      <c r="U34" s="324">
        <f t="shared" ref="U34:U36" si="62">T34*E34</f>
        <v>6120.0000000000009</v>
      </c>
      <c r="V34" s="325">
        <f t="shared" ref="V34:V36" si="63">T34+U34</f>
        <v>26520.000000000004</v>
      </c>
      <c r="W34" s="324">
        <f t="shared" ref="W34:W48" si="64">Q34*1.02</f>
        <v>104040</v>
      </c>
      <c r="X34" s="323">
        <f t="shared" ref="X34:X36" si="65">$F34*$I34*Y34</f>
        <v>2.4000000000000004</v>
      </c>
      <c r="Y34" s="90">
        <v>0.2</v>
      </c>
      <c r="Z34" s="324">
        <f t="shared" ref="Z34:Z36" si="66">W34*(X34/12)</f>
        <v>20808.000000000004</v>
      </c>
      <c r="AA34" s="324">
        <f t="shared" ref="AA34:AA36" si="67">Z34*E34</f>
        <v>6242.4000000000005</v>
      </c>
      <c r="AB34" s="324">
        <f t="shared" ref="AB34:AB35" si="68">Z34+AA34</f>
        <v>27050.400000000005</v>
      </c>
      <c r="AC34" s="322">
        <f>W34*1.02</f>
        <v>106120.8</v>
      </c>
      <c r="AD34" s="323">
        <f t="shared" ref="AD34:AD40" si="69">$F34*$I34*AE34</f>
        <v>2.4000000000000004</v>
      </c>
      <c r="AE34" s="90">
        <v>0.2</v>
      </c>
      <c r="AF34" s="324">
        <f t="shared" ref="AF34:AF36" si="70">AC34*(AD34/12)</f>
        <v>21224.160000000003</v>
      </c>
      <c r="AG34" s="324">
        <f t="shared" ref="AG34:AG40" si="71">AF34*E34</f>
        <v>6367.2480000000005</v>
      </c>
      <c r="AH34" s="324">
        <f t="shared" ref="AH34:AH40" si="72">AF34+AG34</f>
        <v>27591.408000000003</v>
      </c>
      <c r="AI34" s="322"/>
      <c r="AJ34" s="323">
        <f>$F34*$I34*AK34</f>
        <v>0</v>
      </c>
      <c r="AK34" s="90">
        <v>0</v>
      </c>
      <c r="AL34" s="324">
        <f t="shared" ref="AL34:AL45" si="73">AI34*(AJ34/12)</f>
        <v>0</v>
      </c>
      <c r="AM34" s="324">
        <f t="shared" ref="AM34:AM45" si="74">AL34*E34</f>
        <v>0</v>
      </c>
      <c r="AN34" s="325">
        <f t="shared" ref="AN34:AN48" si="75">AL34+AM34</f>
        <v>0</v>
      </c>
      <c r="AO34" s="217">
        <f>P34+V34+AB34+AH34+AN34</f>
        <v>87661.808000000019</v>
      </c>
    </row>
    <row r="35" spans="1:42" outlineLevel="1" x14ac:dyDescent="0.3">
      <c r="A35" s="49" t="s">
        <v>96</v>
      </c>
      <c r="B35" s="50" t="s">
        <v>97</v>
      </c>
      <c r="C35" s="50"/>
      <c r="D35" s="50" t="s">
        <v>58</v>
      </c>
      <c r="E35" s="319">
        <v>0.3</v>
      </c>
      <c r="F35" s="318">
        <v>12</v>
      </c>
      <c r="G35" s="319"/>
      <c r="H35" s="319"/>
      <c r="I35" s="320">
        <v>1</v>
      </c>
      <c r="J35" s="532">
        <v>102000</v>
      </c>
      <c r="K35" s="326">
        <f>IF(D35="Grad Student",56000,IF(D35="Post-Doc",VLOOKUP(C35,'Stipends &amp; Salary Caps'!$A$2:$B$10,2,1),'Primary Site'!J35))</f>
        <v>102000</v>
      </c>
      <c r="L35" s="323">
        <f t="shared" ref="L35:L48" si="76">$F35*$I35*M35</f>
        <v>1.2000000000000002</v>
      </c>
      <c r="M35" s="90">
        <v>0.1</v>
      </c>
      <c r="N35" s="324">
        <f t="shared" ref="N35:N40" si="77">K35*(L35/12)</f>
        <v>10200.000000000002</v>
      </c>
      <c r="O35" s="324">
        <f t="shared" si="59"/>
        <v>3060.0000000000005</v>
      </c>
      <c r="P35" s="324">
        <f t="shared" ref="P35:P40" si="78">N35+O35</f>
        <v>13260.000000000002</v>
      </c>
      <c r="Q35" s="326">
        <f t="shared" ref="Q35:Q40" si="79">K35*1.02</f>
        <v>104040</v>
      </c>
      <c r="R35" s="323">
        <f t="shared" si="60"/>
        <v>0</v>
      </c>
      <c r="S35" s="90">
        <v>0</v>
      </c>
      <c r="T35" s="324">
        <f t="shared" si="61"/>
        <v>0</v>
      </c>
      <c r="U35" s="324">
        <f t="shared" si="62"/>
        <v>0</v>
      </c>
      <c r="V35" s="325">
        <f t="shared" si="63"/>
        <v>0</v>
      </c>
      <c r="W35" s="324">
        <f t="shared" si="64"/>
        <v>106120.8</v>
      </c>
      <c r="X35" s="323">
        <f t="shared" si="65"/>
        <v>0</v>
      </c>
      <c r="Y35" s="90">
        <v>0</v>
      </c>
      <c r="Z35" s="324">
        <f t="shared" si="66"/>
        <v>0</v>
      </c>
      <c r="AA35" s="324">
        <f>Z35*E35</f>
        <v>0</v>
      </c>
      <c r="AB35" s="324">
        <f t="shared" si="68"/>
        <v>0</v>
      </c>
      <c r="AC35" s="322">
        <f t="shared" ref="AC35:AC40" si="80">W35*1.02</f>
        <v>108243.216</v>
      </c>
      <c r="AD35" s="323">
        <f t="shared" si="69"/>
        <v>0</v>
      </c>
      <c r="AE35" s="90">
        <v>0</v>
      </c>
      <c r="AF35" s="324">
        <f t="shared" si="70"/>
        <v>0</v>
      </c>
      <c r="AG35" s="324">
        <f t="shared" si="71"/>
        <v>0</v>
      </c>
      <c r="AH35" s="324">
        <f t="shared" si="72"/>
        <v>0</v>
      </c>
      <c r="AI35" s="322"/>
      <c r="AJ35" s="323">
        <f t="shared" ref="AJ35:AJ45" si="81">$F35*$I35*AK35</f>
        <v>0</v>
      </c>
      <c r="AK35" s="90">
        <v>0</v>
      </c>
      <c r="AL35" s="324">
        <f t="shared" si="73"/>
        <v>0</v>
      </c>
      <c r="AM35" s="324">
        <f t="shared" si="74"/>
        <v>0</v>
      </c>
      <c r="AN35" s="325">
        <f t="shared" si="75"/>
        <v>0</v>
      </c>
      <c r="AO35" s="217">
        <f t="shared" ref="AO35:AO40" si="82">P35+V35+AB35+AH35+AN35</f>
        <v>13260.000000000002</v>
      </c>
    </row>
    <row r="36" spans="1:42" outlineLevel="1" x14ac:dyDescent="0.3">
      <c r="A36" s="49" t="s">
        <v>98</v>
      </c>
      <c r="B36" s="50" t="s">
        <v>95</v>
      </c>
      <c r="C36" s="50"/>
      <c r="D36" s="50" t="s">
        <v>58</v>
      </c>
      <c r="E36" s="319">
        <v>0.44</v>
      </c>
      <c r="F36" s="318">
        <v>12</v>
      </c>
      <c r="G36" s="319"/>
      <c r="H36" s="319"/>
      <c r="I36" s="320">
        <v>1</v>
      </c>
      <c r="J36" s="532">
        <v>100000</v>
      </c>
      <c r="K36" s="326">
        <f>IF(D36="Grad Student",56000,IF(D36="Post-Doc",VLOOKUP(C36,'Stipends &amp; Salary Caps'!$A$2:$B$10,2,1),'Primary Site'!J36))</f>
        <v>100000</v>
      </c>
      <c r="L36" s="323">
        <f t="shared" si="76"/>
        <v>0.60000000000000009</v>
      </c>
      <c r="M36" s="90">
        <v>0.05</v>
      </c>
      <c r="N36" s="324">
        <f t="shared" si="77"/>
        <v>5000.0000000000009</v>
      </c>
      <c r="O36" s="324">
        <f>N36*E36</f>
        <v>2200.0000000000005</v>
      </c>
      <c r="P36" s="324">
        <f t="shared" si="78"/>
        <v>7200.0000000000018</v>
      </c>
      <c r="Q36" s="326">
        <f t="shared" si="79"/>
        <v>102000</v>
      </c>
      <c r="R36" s="323">
        <f t="shared" si="60"/>
        <v>2.4000000000000004</v>
      </c>
      <c r="S36" s="90">
        <v>0.2</v>
      </c>
      <c r="T36" s="324">
        <f t="shared" si="61"/>
        <v>20400.000000000004</v>
      </c>
      <c r="U36" s="324">
        <f t="shared" si="62"/>
        <v>8976.0000000000018</v>
      </c>
      <c r="V36" s="325">
        <f t="shared" si="63"/>
        <v>29376.000000000007</v>
      </c>
      <c r="W36" s="324">
        <f t="shared" si="64"/>
        <v>104040</v>
      </c>
      <c r="X36" s="323">
        <f t="shared" si="65"/>
        <v>2.4000000000000004</v>
      </c>
      <c r="Y36" s="90">
        <v>0.2</v>
      </c>
      <c r="Z36" s="324">
        <f t="shared" si="66"/>
        <v>20808.000000000004</v>
      </c>
      <c r="AA36" s="324">
        <f t="shared" si="67"/>
        <v>9155.5200000000023</v>
      </c>
      <c r="AB36" s="324">
        <f>Z36+AA36</f>
        <v>29963.520000000004</v>
      </c>
      <c r="AC36" s="322">
        <f t="shared" si="80"/>
        <v>106120.8</v>
      </c>
      <c r="AD36" s="323">
        <f t="shared" si="69"/>
        <v>2.4000000000000004</v>
      </c>
      <c r="AE36" s="90">
        <v>0.2</v>
      </c>
      <c r="AF36" s="324">
        <f t="shared" si="70"/>
        <v>21224.160000000003</v>
      </c>
      <c r="AG36" s="324">
        <f t="shared" si="71"/>
        <v>9338.6304000000018</v>
      </c>
      <c r="AH36" s="324">
        <f t="shared" si="72"/>
        <v>30562.790400000005</v>
      </c>
      <c r="AI36" s="493"/>
      <c r="AJ36" s="499">
        <v>0</v>
      </c>
      <c r="AK36" s="500">
        <v>0</v>
      </c>
      <c r="AL36" s="501">
        <f t="shared" si="73"/>
        <v>0</v>
      </c>
      <c r="AM36" s="501">
        <f t="shared" si="74"/>
        <v>0</v>
      </c>
      <c r="AN36" s="502">
        <f t="shared" si="75"/>
        <v>0</v>
      </c>
      <c r="AO36" s="217">
        <f t="shared" si="82"/>
        <v>97102.310400000017</v>
      </c>
    </row>
    <row r="37" spans="1:42" outlineLevel="1" x14ac:dyDescent="0.3">
      <c r="A37" s="49" t="s">
        <v>99</v>
      </c>
      <c r="B37" s="50" t="s">
        <v>100</v>
      </c>
      <c r="C37" s="50"/>
      <c r="D37" s="50" t="s">
        <v>58</v>
      </c>
      <c r="E37" s="319">
        <v>0.1</v>
      </c>
      <c r="F37" s="318">
        <v>12</v>
      </c>
      <c r="G37" s="319"/>
      <c r="H37" s="319"/>
      <c r="I37" s="320">
        <v>1</v>
      </c>
      <c r="J37" s="532">
        <v>71027</v>
      </c>
      <c r="K37" s="326">
        <f>IF(D37="Grad Student",56000,IF(D37="Post-Doc",VLOOKUP(C37,'Stipends &amp; Salary Caps'!$A$2:$B$10,2,1),'Primary Site'!J37))</f>
        <v>71027</v>
      </c>
      <c r="L37" s="323">
        <f t="shared" si="76"/>
        <v>4.8000000000000007</v>
      </c>
      <c r="M37" s="90">
        <v>0.4</v>
      </c>
      <c r="N37" s="324">
        <f t="shared" si="77"/>
        <v>28410.800000000007</v>
      </c>
      <c r="O37" s="324">
        <f>N37*E37</f>
        <v>2841.0800000000008</v>
      </c>
      <c r="P37" s="324">
        <f t="shared" si="78"/>
        <v>31251.880000000008</v>
      </c>
      <c r="Q37" s="326">
        <f t="shared" si="79"/>
        <v>72447.540000000008</v>
      </c>
      <c r="R37" s="323">
        <f t="shared" ref="R37:R45" si="83">$F37*$I37*S37</f>
        <v>12</v>
      </c>
      <c r="S37" s="90">
        <v>1</v>
      </c>
      <c r="T37" s="324">
        <f t="shared" ref="T37:T45" si="84">Q37*(R37/12)</f>
        <v>72447.540000000008</v>
      </c>
      <c r="U37" s="324">
        <f t="shared" ref="U37:U45" si="85">T37*E37</f>
        <v>7244.7540000000008</v>
      </c>
      <c r="V37" s="325">
        <f t="shared" ref="V37:V45" si="86">T37+U37</f>
        <v>79692.294000000009</v>
      </c>
      <c r="W37" s="324">
        <f t="shared" si="64"/>
        <v>73896.490800000014</v>
      </c>
      <c r="X37" s="323">
        <f t="shared" ref="X37:X45" si="87">$F37*$I37*Y37</f>
        <v>12</v>
      </c>
      <c r="Y37" s="90">
        <f t="shared" si="53"/>
        <v>1</v>
      </c>
      <c r="Z37" s="324">
        <f t="shared" ref="Z37:Z45" si="88">W37*(X37/12)</f>
        <v>73896.490800000014</v>
      </c>
      <c r="AA37" s="324">
        <f t="shared" ref="AA37:AA45" si="89">Z37*E37</f>
        <v>7389.649080000002</v>
      </c>
      <c r="AB37" s="324">
        <f>Z37+AA37</f>
        <v>81286.139880000017</v>
      </c>
      <c r="AC37" s="322">
        <f t="shared" si="80"/>
        <v>75374.420616000018</v>
      </c>
      <c r="AD37" s="323">
        <f t="shared" si="69"/>
        <v>7.1999999999999993</v>
      </c>
      <c r="AE37" s="90">
        <v>0.6</v>
      </c>
      <c r="AF37" s="324">
        <f t="shared" ref="AF37:AF45" si="90">AC37*(AD37/12)</f>
        <v>45224.652369600008</v>
      </c>
      <c r="AG37" s="324">
        <f t="shared" si="71"/>
        <v>4522.4652369600008</v>
      </c>
      <c r="AH37" s="324">
        <f t="shared" si="72"/>
        <v>49747.117606560008</v>
      </c>
      <c r="AI37" s="322"/>
      <c r="AJ37" s="323">
        <f t="shared" si="81"/>
        <v>0</v>
      </c>
      <c r="AK37" s="90">
        <v>0</v>
      </c>
      <c r="AL37" s="324">
        <f t="shared" si="73"/>
        <v>0</v>
      </c>
      <c r="AM37" s="324">
        <f t="shared" si="74"/>
        <v>0</v>
      </c>
      <c r="AN37" s="325">
        <f t="shared" si="75"/>
        <v>0</v>
      </c>
      <c r="AO37" s="217">
        <f t="shared" si="82"/>
        <v>241977.43148656003</v>
      </c>
    </row>
    <row r="38" spans="1:42" outlineLevel="1" x14ac:dyDescent="0.3">
      <c r="A38" s="49" t="s">
        <v>101</v>
      </c>
      <c r="B38" s="50" t="s">
        <v>102</v>
      </c>
      <c r="C38" s="50"/>
      <c r="D38" s="50" t="s">
        <v>58</v>
      </c>
      <c r="E38" s="319">
        <v>0.57999999999999996</v>
      </c>
      <c r="F38" s="318">
        <v>12</v>
      </c>
      <c r="G38" s="319"/>
      <c r="H38" s="319"/>
      <c r="I38" s="320">
        <v>1</v>
      </c>
      <c r="J38" s="532">
        <v>37500</v>
      </c>
      <c r="K38" s="326">
        <f>IF(D38="Grad Student",56000,IF(D38="Post-Doc",VLOOKUP(C38,'Stipends &amp; Salary Caps'!$A$2:$B$10,2,1),'Primary Site'!J38))</f>
        <v>37500</v>
      </c>
      <c r="L38" s="323">
        <f t="shared" si="76"/>
        <v>2.4000000000000004</v>
      </c>
      <c r="M38" s="90">
        <v>0.2</v>
      </c>
      <c r="N38" s="324">
        <f t="shared" si="77"/>
        <v>7500.0000000000018</v>
      </c>
      <c r="O38" s="324">
        <f>N38*E38</f>
        <v>4350.0000000000009</v>
      </c>
      <c r="P38" s="324">
        <f t="shared" si="78"/>
        <v>11850.000000000004</v>
      </c>
      <c r="Q38" s="326">
        <f t="shared" si="79"/>
        <v>38250</v>
      </c>
      <c r="R38" s="323">
        <f>12*S38</f>
        <v>6</v>
      </c>
      <c r="S38" s="90">
        <v>0.5</v>
      </c>
      <c r="T38" s="324">
        <f t="shared" ref="T38" si="91">Q38*(R38/12)</f>
        <v>19125</v>
      </c>
      <c r="U38" s="324">
        <f t="shared" ref="U38" si="92">T38*E38</f>
        <v>11092.5</v>
      </c>
      <c r="V38" s="325">
        <f t="shared" ref="V38" si="93">T38+U38</f>
        <v>30217.5</v>
      </c>
      <c r="W38" s="324">
        <f t="shared" si="64"/>
        <v>39015</v>
      </c>
      <c r="X38" s="323">
        <f>12*Y38</f>
        <v>6</v>
      </c>
      <c r="Y38" s="90">
        <f t="shared" ref="Y38" si="94">S38</f>
        <v>0.5</v>
      </c>
      <c r="Z38" s="324">
        <f t="shared" ref="Z38" si="95">W38*(X38/12)</f>
        <v>19507.5</v>
      </c>
      <c r="AA38" s="324">
        <f t="shared" ref="AA38" si="96">Z38*E38</f>
        <v>11314.349999999999</v>
      </c>
      <c r="AB38" s="324">
        <f>Z38+AA38</f>
        <v>30821.85</v>
      </c>
      <c r="AC38" s="322">
        <f t="shared" si="80"/>
        <v>39795.300000000003</v>
      </c>
      <c r="AD38" s="323">
        <f t="shared" si="69"/>
        <v>0</v>
      </c>
      <c r="AE38" s="90">
        <v>0</v>
      </c>
      <c r="AF38" s="324">
        <f t="shared" ref="AF38:AF39" si="97">AC38*(AD38/12)</f>
        <v>0</v>
      </c>
      <c r="AG38" s="324">
        <f t="shared" si="71"/>
        <v>0</v>
      </c>
      <c r="AH38" s="324">
        <f t="shared" si="72"/>
        <v>0</v>
      </c>
      <c r="AI38" s="322"/>
      <c r="AJ38" s="323">
        <f t="shared" ref="AJ38" si="98">$F38*$I38*AK38</f>
        <v>0</v>
      </c>
      <c r="AK38" s="90">
        <v>0</v>
      </c>
      <c r="AL38" s="324">
        <f t="shared" ref="AL38" si="99">AI38*(AJ38/12)</f>
        <v>0</v>
      </c>
      <c r="AM38" s="324">
        <f t="shared" ref="AM38" si="100">AL38*E38</f>
        <v>0</v>
      </c>
      <c r="AN38" s="325">
        <f t="shared" ref="AN38" si="101">AL38+AM38</f>
        <v>0</v>
      </c>
      <c r="AO38" s="217">
        <f t="shared" si="82"/>
        <v>72889.350000000006</v>
      </c>
    </row>
    <row r="39" spans="1:42" outlineLevel="1" x14ac:dyDescent="0.3">
      <c r="A39" s="49" t="s">
        <v>103</v>
      </c>
      <c r="B39" s="50" t="s">
        <v>104</v>
      </c>
      <c r="C39" s="50"/>
      <c r="D39" s="50" t="s">
        <v>58</v>
      </c>
      <c r="E39" s="319">
        <v>0.3</v>
      </c>
      <c r="F39" s="318">
        <v>12</v>
      </c>
      <c r="G39" s="319"/>
      <c r="H39" s="319"/>
      <c r="I39" s="320">
        <v>1</v>
      </c>
      <c r="J39" s="532">
        <v>56100</v>
      </c>
      <c r="K39" s="326">
        <f>55000*1.02</f>
        <v>56100</v>
      </c>
      <c r="L39" s="323">
        <f t="shared" si="76"/>
        <v>1.2000000000000002</v>
      </c>
      <c r="M39" s="90">
        <v>0.1</v>
      </c>
      <c r="N39" s="324">
        <f t="shared" si="77"/>
        <v>5610.0000000000009</v>
      </c>
      <c r="O39" s="324">
        <f>N39*E39</f>
        <v>1683.0000000000002</v>
      </c>
      <c r="P39" s="324">
        <f t="shared" si="78"/>
        <v>7293.0000000000009</v>
      </c>
      <c r="Q39" s="326">
        <f t="shared" si="79"/>
        <v>57222</v>
      </c>
      <c r="R39" s="323">
        <f>12*S39</f>
        <v>3</v>
      </c>
      <c r="S39" s="90">
        <v>0.25</v>
      </c>
      <c r="T39" s="324">
        <f t="shared" ref="T39" si="102">Q39*(R39/12)</f>
        <v>14305.5</v>
      </c>
      <c r="U39" s="324">
        <f t="shared" ref="U39" si="103">T39*E39</f>
        <v>4291.6499999999996</v>
      </c>
      <c r="V39" s="325">
        <f t="shared" ref="V39" si="104">T39+U39</f>
        <v>18597.150000000001</v>
      </c>
      <c r="W39" s="324">
        <f t="shared" si="64"/>
        <v>58366.44</v>
      </c>
      <c r="X39" s="323">
        <f>12*Y39</f>
        <v>3</v>
      </c>
      <c r="Y39" s="90">
        <f t="shared" ref="Y39" si="105">S39</f>
        <v>0.25</v>
      </c>
      <c r="Z39" s="324">
        <f t="shared" ref="Z39" si="106">W39*(X39/12)</f>
        <v>14591.61</v>
      </c>
      <c r="AA39" s="324">
        <f t="shared" ref="AA39" si="107">Z39*E39</f>
        <v>4377.4830000000002</v>
      </c>
      <c r="AB39" s="324">
        <f>Z39+AA39</f>
        <v>18969.093000000001</v>
      </c>
      <c r="AC39" s="322">
        <f t="shared" si="80"/>
        <v>59533.768800000005</v>
      </c>
      <c r="AD39" s="323">
        <f t="shared" si="69"/>
        <v>3</v>
      </c>
      <c r="AE39" s="90">
        <f t="shared" ref="AE39" si="108">Y39</f>
        <v>0.25</v>
      </c>
      <c r="AF39" s="324">
        <f t="shared" si="97"/>
        <v>14883.442200000001</v>
      </c>
      <c r="AG39" s="324">
        <f t="shared" si="71"/>
        <v>4465.0326599999999</v>
      </c>
      <c r="AH39" s="324">
        <f t="shared" si="72"/>
        <v>19348.474860000002</v>
      </c>
      <c r="AI39" s="322"/>
      <c r="AJ39" s="323"/>
      <c r="AK39" s="90"/>
      <c r="AL39" s="324"/>
      <c r="AM39" s="324"/>
      <c r="AN39" s="325"/>
      <c r="AO39" s="217">
        <f t="shared" si="82"/>
        <v>64207.717860000004</v>
      </c>
    </row>
    <row r="40" spans="1:42" outlineLevel="1" x14ac:dyDescent="0.3">
      <c r="A40" s="49" t="s">
        <v>105</v>
      </c>
      <c r="B40" s="50" t="s">
        <v>106</v>
      </c>
      <c r="C40" s="50"/>
      <c r="D40" s="50" t="s">
        <v>58</v>
      </c>
      <c r="E40" s="319">
        <v>0.1</v>
      </c>
      <c r="F40" s="318">
        <v>12</v>
      </c>
      <c r="G40" s="319"/>
      <c r="H40" s="319"/>
      <c r="I40" s="320">
        <v>1</v>
      </c>
      <c r="J40" s="532">
        <f>75000</f>
        <v>75000</v>
      </c>
      <c r="K40" s="326">
        <v>75000</v>
      </c>
      <c r="L40" s="323">
        <f t="shared" si="76"/>
        <v>4.8000000000000007</v>
      </c>
      <c r="M40" s="90">
        <v>0.4</v>
      </c>
      <c r="N40" s="324">
        <f t="shared" si="77"/>
        <v>30000.000000000007</v>
      </c>
      <c r="O40" s="324">
        <f>N40*E40</f>
        <v>3000.0000000000009</v>
      </c>
      <c r="P40" s="324">
        <f t="shared" si="78"/>
        <v>33000.000000000007</v>
      </c>
      <c r="Q40" s="326">
        <f t="shared" si="79"/>
        <v>76500</v>
      </c>
      <c r="R40" s="323">
        <f t="shared" si="83"/>
        <v>4.8000000000000007</v>
      </c>
      <c r="S40" s="90">
        <v>0.4</v>
      </c>
      <c r="T40" s="324">
        <f t="shared" si="84"/>
        <v>30600.000000000007</v>
      </c>
      <c r="U40" s="324">
        <f t="shared" si="85"/>
        <v>3060.0000000000009</v>
      </c>
      <c r="V40" s="325">
        <f t="shared" si="86"/>
        <v>33660.000000000007</v>
      </c>
      <c r="W40" s="324">
        <f t="shared" si="64"/>
        <v>78030</v>
      </c>
      <c r="X40" s="323">
        <f t="shared" si="87"/>
        <v>4.8000000000000007</v>
      </c>
      <c r="Y40" s="90">
        <f t="shared" si="53"/>
        <v>0.4</v>
      </c>
      <c r="Z40" s="324">
        <f t="shared" si="88"/>
        <v>31212.000000000007</v>
      </c>
      <c r="AA40" s="324">
        <f t="shared" si="89"/>
        <v>3121.2000000000007</v>
      </c>
      <c r="AB40" s="324">
        <f t="shared" ref="AB40:AB48" si="109">Z40+AA40</f>
        <v>34333.200000000012</v>
      </c>
      <c r="AC40" s="322">
        <f t="shared" si="80"/>
        <v>79590.600000000006</v>
      </c>
      <c r="AD40" s="323">
        <f t="shared" si="69"/>
        <v>4.68</v>
      </c>
      <c r="AE40" s="90">
        <v>0.39</v>
      </c>
      <c r="AF40" s="324">
        <f t="shared" si="90"/>
        <v>31040.333999999999</v>
      </c>
      <c r="AG40" s="324">
        <f t="shared" si="71"/>
        <v>3104.0334000000003</v>
      </c>
      <c r="AH40" s="324">
        <f t="shared" si="72"/>
        <v>34144.367400000003</v>
      </c>
      <c r="AI40" s="322"/>
      <c r="AJ40" s="323">
        <f t="shared" si="81"/>
        <v>0</v>
      </c>
      <c r="AK40" s="90">
        <v>0</v>
      </c>
      <c r="AL40" s="324">
        <f t="shared" si="73"/>
        <v>0</v>
      </c>
      <c r="AM40" s="324">
        <f t="shared" si="74"/>
        <v>0</v>
      </c>
      <c r="AN40" s="325">
        <f t="shared" si="75"/>
        <v>0</v>
      </c>
      <c r="AO40" s="217">
        <f t="shared" si="82"/>
        <v>135137.56740000003</v>
      </c>
    </row>
    <row r="41" spans="1:42" hidden="1" outlineLevel="1" x14ac:dyDescent="0.3">
      <c r="A41" s="49"/>
      <c r="B41" s="50"/>
      <c r="C41" s="50"/>
      <c r="D41" s="50" t="s">
        <v>58</v>
      </c>
      <c r="E41" s="319">
        <f t="shared" ref="E41:E45" si="110">VLOOKUP(D41,$A$10:$B$14,2,0)</f>
        <v>0.62</v>
      </c>
      <c r="F41" s="318">
        <v>12</v>
      </c>
      <c r="G41" s="319"/>
      <c r="H41" s="319"/>
      <c r="I41" s="320">
        <v>1</v>
      </c>
      <c r="J41" s="82">
        <f>IF(D41="Grad Student",56000,IF(D41="Post-Doc",VLOOKUP(C41,'Stipends &amp; Salary Caps'!$A$2:$B$10,2,1),0))</f>
        <v>0</v>
      </c>
      <c r="K41" s="326">
        <f>IF(D41="Grad Student",56000,IF(D41="Post-Doc",VLOOKUP(C41,'Stipends &amp; Salary Caps'!$A$2:$B$10,2,1),'Primary Site'!J41))</f>
        <v>0</v>
      </c>
      <c r="L41" s="323">
        <f t="shared" si="76"/>
        <v>0</v>
      </c>
      <c r="M41" s="90">
        <f t="shared" ref="M41:M45" si="111">IF(D41="Grad Student",0.5,0)</f>
        <v>0</v>
      </c>
      <c r="N41" s="324">
        <f t="shared" si="38"/>
        <v>0</v>
      </c>
      <c r="O41" s="324">
        <f t="shared" ref="O41:O45" si="112">N41*E41</f>
        <v>0</v>
      </c>
      <c r="P41" s="324">
        <f t="shared" si="54"/>
        <v>0</v>
      </c>
      <c r="Q41" s="326">
        <f>IF(D41="Post-Doc",VLOOKUP(C41+1,'Stipends &amp; Salary Caps'!$A$2:$B$10,2,1),'Primary Site'!K41)</f>
        <v>0</v>
      </c>
      <c r="R41" s="323">
        <f t="shared" si="83"/>
        <v>0</v>
      </c>
      <c r="S41" s="90">
        <f t="shared" si="43"/>
        <v>0</v>
      </c>
      <c r="T41" s="324">
        <f t="shared" si="84"/>
        <v>0</v>
      </c>
      <c r="U41" s="324">
        <f t="shared" si="85"/>
        <v>0</v>
      </c>
      <c r="V41" s="325">
        <f t="shared" si="86"/>
        <v>0</v>
      </c>
      <c r="W41" s="324">
        <f t="shared" si="64"/>
        <v>0</v>
      </c>
      <c r="X41" s="323">
        <f t="shared" si="87"/>
        <v>0</v>
      </c>
      <c r="Y41" s="90">
        <f t="shared" si="53"/>
        <v>0</v>
      </c>
      <c r="Z41" s="324">
        <f t="shared" si="88"/>
        <v>0</v>
      </c>
      <c r="AA41" s="324">
        <f t="shared" si="89"/>
        <v>0</v>
      </c>
      <c r="AB41" s="324">
        <f t="shared" si="109"/>
        <v>0</v>
      </c>
      <c r="AC41" s="322">
        <f>IF(D41="Post-Doc",VLOOKUP(C41+3,'Stipends &amp; Salary Caps'!$A$2:$B$10,2,1),'Primary Site'!W41)</f>
        <v>0</v>
      </c>
      <c r="AD41" s="323">
        <f t="shared" ref="AD41:AD45" si="113">$F41*$I41*AE41</f>
        <v>0</v>
      </c>
      <c r="AE41" s="90">
        <f t="shared" si="49"/>
        <v>0</v>
      </c>
      <c r="AF41" s="324">
        <f t="shared" si="90"/>
        <v>0</v>
      </c>
      <c r="AG41" s="324">
        <f t="shared" ref="AG41:AG45" si="114">AF41*E41</f>
        <v>0</v>
      </c>
      <c r="AH41" s="324">
        <f t="shared" ref="AH41:AH48" si="115">AF41+AG41</f>
        <v>0</v>
      </c>
      <c r="AI41" s="322"/>
      <c r="AJ41" s="323">
        <f t="shared" si="81"/>
        <v>0</v>
      </c>
      <c r="AK41" s="90">
        <f t="shared" si="51"/>
        <v>0</v>
      </c>
      <c r="AL41" s="324">
        <f t="shared" si="73"/>
        <v>0</v>
      </c>
      <c r="AM41" s="324">
        <f t="shared" si="74"/>
        <v>0</v>
      </c>
      <c r="AN41" s="325">
        <f t="shared" si="75"/>
        <v>0</v>
      </c>
      <c r="AO41" s="217">
        <f t="shared" ref="AO41:AO48" si="116">P41+V41+AB41+AH41+AN41</f>
        <v>0</v>
      </c>
    </row>
    <row r="42" spans="1:42" hidden="1" outlineLevel="1" x14ac:dyDescent="0.3">
      <c r="A42" s="49"/>
      <c r="B42" s="50"/>
      <c r="C42" s="50"/>
      <c r="D42" s="50" t="s">
        <v>58</v>
      </c>
      <c r="E42" s="319">
        <f t="shared" si="110"/>
        <v>0.62</v>
      </c>
      <c r="F42" s="318">
        <v>12</v>
      </c>
      <c r="G42" s="319"/>
      <c r="H42" s="319"/>
      <c r="I42" s="320">
        <v>1</v>
      </c>
      <c r="J42" s="82">
        <f>IF(D42="Grad Student",56000,IF(D42="Post-Doc",VLOOKUP(C42,'Stipends &amp; Salary Caps'!$A$2:$B$10,2,1),0))</f>
        <v>0</v>
      </c>
      <c r="K42" s="326">
        <f>IF(D42="Grad Student",56000,IF(D42="Post-Doc",VLOOKUP(C42,'Stipends &amp; Salary Caps'!$A$2:$B$10,2,1),'Primary Site'!J42))</f>
        <v>0</v>
      </c>
      <c r="L42" s="323">
        <f t="shared" si="76"/>
        <v>0</v>
      </c>
      <c r="M42" s="90">
        <f t="shared" si="111"/>
        <v>0</v>
      </c>
      <c r="N42" s="324">
        <f t="shared" si="38"/>
        <v>0</v>
      </c>
      <c r="O42" s="324">
        <f>N42*E42</f>
        <v>0</v>
      </c>
      <c r="P42" s="324">
        <f t="shared" si="54"/>
        <v>0</v>
      </c>
      <c r="Q42" s="326">
        <f>IF(D42="Post-Doc",VLOOKUP(C42+1,'Stipends &amp; Salary Caps'!$A$2:$B$10,2,1),'Primary Site'!K42)</f>
        <v>0</v>
      </c>
      <c r="R42" s="323">
        <f t="shared" si="83"/>
        <v>0</v>
      </c>
      <c r="S42" s="90">
        <f t="shared" si="43"/>
        <v>0</v>
      </c>
      <c r="T42" s="324">
        <f t="shared" si="84"/>
        <v>0</v>
      </c>
      <c r="U42" s="324">
        <f t="shared" si="85"/>
        <v>0</v>
      </c>
      <c r="V42" s="325">
        <f t="shared" si="86"/>
        <v>0</v>
      </c>
      <c r="W42" s="324">
        <f t="shared" si="64"/>
        <v>0</v>
      </c>
      <c r="X42" s="323">
        <f t="shared" si="87"/>
        <v>0</v>
      </c>
      <c r="Y42" s="90">
        <f t="shared" si="53"/>
        <v>0</v>
      </c>
      <c r="Z42" s="324">
        <f t="shared" si="88"/>
        <v>0</v>
      </c>
      <c r="AA42" s="324">
        <f t="shared" si="89"/>
        <v>0</v>
      </c>
      <c r="AB42" s="324">
        <f t="shared" si="109"/>
        <v>0</v>
      </c>
      <c r="AC42" s="322">
        <f>IF(D42="Post-Doc",VLOOKUP(C42+3,'Stipends &amp; Salary Caps'!$A$2:$B$10,2,1),'Primary Site'!W42)</f>
        <v>0</v>
      </c>
      <c r="AD42" s="323">
        <f t="shared" si="113"/>
        <v>0</v>
      </c>
      <c r="AE42" s="90">
        <f t="shared" si="49"/>
        <v>0</v>
      </c>
      <c r="AF42" s="324">
        <f t="shared" si="90"/>
        <v>0</v>
      </c>
      <c r="AG42" s="324">
        <f t="shared" si="114"/>
        <v>0</v>
      </c>
      <c r="AH42" s="324">
        <f t="shared" si="115"/>
        <v>0</v>
      </c>
      <c r="AI42" s="322"/>
      <c r="AJ42" s="323">
        <f t="shared" si="81"/>
        <v>0</v>
      </c>
      <c r="AK42" s="90">
        <f t="shared" si="51"/>
        <v>0</v>
      </c>
      <c r="AL42" s="324">
        <f t="shared" si="73"/>
        <v>0</v>
      </c>
      <c r="AM42" s="324">
        <f t="shared" si="74"/>
        <v>0</v>
      </c>
      <c r="AN42" s="325">
        <f t="shared" si="75"/>
        <v>0</v>
      </c>
      <c r="AO42" s="217">
        <f t="shared" si="116"/>
        <v>0</v>
      </c>
    </row>
    <row r="43" spans="1:42" hidden="1" outlineLevel="1" x14ac:dyDescent="0.3">
      <c r="A43" s="49"/>
      <c r="B43" s="50"/>
      <c r="C43" s="50"/>
      <c r="D43" s="50" t="s">
        <v>58</v>
      </c>
      <c r="E43" s="319">
        <f t="shared" si="110"/>
        <v>0.62</v>
      </c>
      <c r="F43" s="318">
        <v>12</v>
      </c>
      <c r="G43" s="319"/>
      <c r="H43" s="319"/>
      <c r="I43" s="320">
        <v>1</v>
      </c>
      <c r="J43" s="82">
        <f>IF(D43="Grad Student",56000,IF(D43="Post-Doc",VLOOKUP(C43,'Stipends &amp; Salary Caps'!$A$2:$B$10,2,1),0))</f>
        <v>0</v>
      </c>
      <c r="K43" s="326">
        <f>IF(D43="Grad Student",56000,IF(D43="Post-Doc",VLOOKUP(C43,'Stipends &amp; Salary Caps'!$A$2:$B$10,2,1),'Primary Site'!J43))</f>
        <v>0</v>
      </c>
      <c r="L43" s="323">
        <f t="shared" si="76"/>
        <v>0</v>
      </c>
      <c r="M43" s="90">
        <f t="shared" si="111"/>
        <v>0</v>
      </c>
      <c r="N43" s="324">
        <f t="shared" si="38"/>
        <v>0</v>
      </c>
      <c r="O43" s="324">
        <f t="shared" si="112"/>
        <v>0</v>
      </c>
      <c r="P43" s="324">
        <f t="shared" si="54"/>
        <v>0</v>
      </c>
      <c r="Q43" s="326">
        <f>IF(D43="Post-Doc",VLOOKUP(C43+1,'Stipends &amp; Salary Caps'!$A$2:$B$10,2,1),'Primary Site'!K43)</f>
        <v>0</v>
      </c>
      <c r="R43" s="323">
        <f t="shared" si="83"/>
        <v>0</v>
      </c>
      <c r="S43" s="90">
        <f t="shared" si="43"/>
        <v>0</v>
      </c>
      <c r="T43" s="324">
        <f t="shared" si="84"/>
        <v>0</v>
      </c>
      <c r="U43" s="324">
        <f t="shared" si="85"/>
        <v>0</v>
      </c>
      <c r="V43" s="325">
        <f t="shared" si="86"/>
        <v>0</v>
      </c>
      <c r="W43" s="324">
        <f t="shared" si="64"/>
        <v>0</v>
      </c>
      <c r="X43" s="323">
        <f t="shared" si="87"/>
        <v>0</v>
      </c>
      <c r="Y43" s="90">
        <f t="shared" si="53"/>
        <v>0</v>
      </c>
      <c r="Z43" s="324">
        <f t="shared" si="88"/>
        <v>0</v>
      </c>
      <c r="AA43" s="324">
        <f t="shared" si="89"/>
        <v>0</v>
      </c>
      <c r="AB43" s="324">
        <f t="shared" si="109"/>
        <v>0</v>
      </c>
      <c r="AC43" s="322">
        <f>IF(D43="Post-Doc",VLOOKUP(C43+3,'Stipends &amp; Salary Caps'!$A$2:$B$10,2,1),'Primary Site'!W43)</f>
        <v>0</v>
      </c>
      <c r="AD43" s="323">
        <f t="shared" si="113"/>
        <v>0</v>
      </c>
      <c r="AE43" s="90">
        <f t="shared" si="49"/>
        <v>0</v>
      </c>
      <c r="AF43" s="324">
        <f t="shared" si="90"/>
        <v>0</v>
      </c>
      <c r="AG43" s="324">
        <f t="shared" si="114"/>
        <v>0</v>
      </c>
      <c r="AH43" s="324">
        <f t="shared" si="115"/>
        <v>0</v>
      </c>
      <c r="AI43" s="322"/>
      <c r="AJ43" s="323">
        <f t="shared" si="81"/>
        <v>0</v>
      </c>
      <c r="AK43" s="90">
        <f t="shared" si="51"/>
        <v>0</v>
      </c>
      <c r="AL43" s="324">
        <f t="shared" si="73"/>
        <v>0</v>
      </c>
      <c r="AM43" s="324">
        <f t="shared" si="74"/>
        <v>0</v>
      </c>
      <c r="AN43" s="325">
        <f t="shared" si="75"/>
        <v>0</v>
      </c>
      <c r="AO43" s="217">
        <f t="shared" si="116"/>
        <v>0</v>
      </c>
    </row>
    <row r="44" spans="1:42" hidden="1" outlineLevel="1" x14ac:dyDescent="0.3">
      <c r="A44" s="49"/>
      <c r="B44" s="50"/>
      <c r="C44" s="50"/>
      <c r="D44" s="50" t="s">
        <v>58</v>
      </c>
      <c r="E44" s="319">
        <f t="shared" si="110"/>
        <v>0.62</v>
      </c>
      <c r="F44" s="318">
        <v>12</v>
      </c>
      <c r="G44" s="319"/>
      <c r="H44" s="319"/>
      <c r="I44" s="320">
        <v>1</v>
      </c>
      <c r="J44" s="82">
        <f>IF(D44="Grad Student",56000,IF(D44="Post-Doc",VLOOKUP(C44,'Stipends &amp; Salary Caps'!$A$2:$B$10,2,1),0))</f>
        <v>0</v>
      </c>
      <c r="K44" s="326">
        <f>IF(D44="Grad Student",56000,IF(D44="Post-Doc",VLOOKUP(C44,'Stipends &amp; Salary Caps'!$A$2:$B$10,2,1),'Primary Site'!J44))</f>
        <v>0</v>
      </c>
      <c r="L44" s="323">
        <f t="shared" si="76"/>
        <v>0</v>
      </c>
      <c r="M44" s="90">
        <f t="shared" si="111"/>
        <v>0</v>
      </c>
      <c r="N44" s="324">
        <f t="shared" si="38"/>
        <v>0</v>
      </c>
      <c r="O44" s="324">
        <f t="shared" si="112"/>
        <v>0</v>
      </c>
      <c r="P44" s="324">
        <f t="shared" si="54"/>
        <v>0</v>
      </c>
      <c r="Q44" s="326">
        <f>IF(D44="Post-Doc",VLOOKUP(C44+1,'Stipends &amp; Salary Caps'!$A$2:$B$10,2,1),'Primary Site'!K44)</f>
        <v>0</v>
      </c>
      <c r="R44" s="323">
        <f t="shared" si="83"/>
        <v>0</v>
      </c>
      <c r="S44" s="90">
        <f t="shared" si="43"/>
        <v>0</v>
      </c>
      <c r="T44" s="324">
        <f t="shared" si="84"/>
        <v>0</v>
      </c>
      <c r="U44" s="324">
        <f t="shared" si="85"/>
        <v>0</v>
      </c>
      <c r="V44" s="325">
        <f t="shared" si="86"/>
        <v>0</v>
      </c>
      <c r="W44" s="324">
        <f t="shared" si="64"/>
        <v>0</v>
      </c>
      <c r="X44" s="323">
        <f t="shared" si="87"/>
        <v>0</v>
      </c>
      <c r="Y44" s="90">
        <f t="shared" si="53"/>
        <v>0</v>
      </c>
      <c r="Z44" s="324">
        <f t="shared" si="88"/>
        <v>0</v>
      </c>
      <c r="AA44" s="324">
        <f t="shared" si="89"/>
        <v>0</v>
      </c>
      <c r="AB44" s="324">
        <f t="shared" si="109"/>
        <v>0</v>
      </c>
      <c r="AC44" s="322">
        <f>IF(D44="Post-Doc",VLOOKUP(C44+3,'Stipends &amp; Salary Caps'!$A$2:$B$10,2,1),'Primary Site'!W44)</f>
        <v>0</v>
      </c>
      <c r="AD44" s="323">
        <f t="shared" si="113"/>
        <v>0</v>
      </c>
      <c r="AE44" s="90">
        <f t="shared" si="49"/>
        <v>0</v>
      </c>
      <c r="AF44" s="324">
        <f t="shared" si="90"/>
        <v>0</v>
      </c>
      <c r="AG44" s="324">
        <f t="shared" si="114"/>
        <v>0</v>
      </c>
      <c r="AH44" s="324">
        <f t="shared" si="115"/>
        <v>0</v>
      </c>
      <c r="AI44" s="322"/>
      <c r="AJ44" s="323">
        <f t="shared" si="81"/>
        <v>0</v>
      </c>
      <c r="AK44" s="90">
        <f t="shared" si="51"/>
        <v>0</v>
      </c>
      <c r="AL44" s="324">
        <f t="shared" si="73"/>
        <v>0</v>
      </c>
      <c r="AM44" s="324">
        <f t="shared" si="74"/>
        <v>0</v>
      </c>
      <c r="AN44" s="325">
        <f t="shared" si="75"/>
        <v>0</v>
      </c>
      <c r="AO44" s="217">
        <f t="shared" si="116"/>
        <v>0</v>
      </c>
    </row>
    <row r="45" spans="1:42" hidden="1" outlineLevel="1" x14ac:dyDescent="0.3">
      <c r="A45" s="315"/>
      <c r="B45" s="316"/>
      <c r="C45" s="316"/>
      <c r="D45" s="316" t="s">
        <v>58</v>
      </c>
      <c r="E45" s="319">
        <f t="shared" si="110"/>
        <v>0.62</v>
      </c>
      <c r="F45" s="318">
        <v>12</v>
      </c>
      <c r="G45" s="319"/>
      <c r="H45" s="319"/>
      <c r="I45" s="320">
        <v>1</v>
      </c>
      <c r="J45" s="321">
        <f>IF(D45="Grad Student",56000,IF(D45="Post-Doc",VLOOKUP(C45,'Stipends &amp; Salary Caps'!$A$2:$B$10,2,1),0))</f>
        <v>0</v>
      </c>
      <c r="K45" s="326">
        <f>IF(D45="Grad Student",56000,IF(D45="Post-Doc",VLOOKUP(C45,'Stipends &amp; Salary Caps'!$A$2:$B$10,2,1),'Primary Site'!J45))</f>
        <v>0</v>
      </c>
      <c r="L45" s="323">
        <f t="shared" si="76"/>
        <v>0</v>
      </c>
      <c r="M45" s="90">
        <f t="shared" si="111"/>
        <v>0</v>
      </c>
      <c r="N45" s="324">
        <f t="shared" si="38"/>
        <v>0</v>
      </c>
      <c r="O45" s="324">
        <f t="shared" si="112"/>
        <v>0</v>
      </c>
      <c r="P45" s="324">
        <f t="shared" si="54"/>
        <v>0</v>
      </c>
      <c r="Q45" s="326">
        <f>IF(D45="Post-Doc",VLOOKUP(C45+1,'Stipends &amp; Salary Caps'!$A$2:$B$10,2,1),'Primary Site'!K45)</f>
        <v>0</v>
      </c>
      <c r="R45" s="323">
        <f t="shared" si="83"/>
        <v>0</v>
      </c>
      <c r="S45" s="353">
        <f t="shared" si="43"/>
        <v>0</v>
      </c>
      <c r="T45" s="324">
        <f t="shared" si="84"/>
        <v>0</v>
      </c>
      <c r="U45" s="324">
        <f t="shared" si="85"/>
        <v>0</v>
      </c>
      <c r="V45" s="325">
        <f t="shared" si="86"/>
        <v>0</v>
      </c>
      <c r="W45" s="324">
        <f t="shared" si="64"/>
        <v>0</v>
      </c>
      <c r="X45" s="323">
        <f t="shared" si="87"/>
        <v>0</v>
      </c>
      <c r="Y45" s="353">
        <f t="shared" si="53"/>
        <v>0</v>
      </c>
      <c r="Z45" s="324">
        <f t="shared" si="88"/>
        <v>0</v>
      </c>
      <c r="AA45" s="324">
        <f t="shared" si="89"/>
        <v>0</v>
      </c>
      <c r="AB45" s="324">
        <f t="shared" si="109"/>
        <v>0</v>
      </c>
      <c r="AC45" s="322">
        <f>IF(D45="Post-Doc",VLOOKUP(C45+3,'Stipends &amp; Salary Caps'!$A$2:$B$10,2,1),'Primary Site'!W45)</f>
        <v>0</v>
      </c>
      <c r="AD45" s="323">
        <f t="shared" si="113"/>
        <v>0</v>
      </c>
      <c r="AE45" s="353">
        <f t="shared" si="49"/>
        <v>0</v>
      </c>
      <c r="AF45" s="324">
        <f t="shared" si="90"/>
        <v>0</v>
      </c>
      <c r="AG45" s="324">
        <f t="shared" si="114"/>
        <v>0</v>
      </c>
      <c r="AH45" s="324">
        <f t="shared" si="115"/>
        <v>0</v>
      </c>
      <c r="AI45" s="322"/>
      <c r="AJ45" s="323">
        <f t="shared" si="81"/>
        <v>0</v>
      </c>
      <c r="AK45" s="353">
        <f t="shared" si="51"/>
        <v>0</v>
      </c>
      <c r="AL45" s="324">
        <f t="shared" si="73"/>
        <v>0</v>
      </c>
      <c r="AM45" s="324">
        <f t="shared" si="74"/>
        <v>0</v>
      </c>
      <c r="AN45" s="325">
        <f t="shared" si="75"/>
        <v>0</v>
      </c>
      <c r="AO45" s="217">
        <f t="shared" si="116"/>
        <v>0</v>
      </c>
    </row>
    <row r="46" spans="1:42" hidden="1" outlineLevel="2" x14ac:dyDescent="0.3">
      <c r="A46" s="369" t="s">
        <v>107</v>
      </c>
      <c r="B46" s="370">
        <f>COUNTIF(D34:D45,"Post-Doc")</f>
        <v>0</v>
      </c>
      <c r="C46" s="370"/>
      <c r="D46" s="370"/>
      <c r="E46" s="329"/>
      <c r="F46" s="330"/>
      <c r="G46" s="329"/>
      <c r="H46" s="329"/>
      <c r="I46" s="331"/>
      <c r="J46" s="368"/>
      <c r="K46" s="333"/>
      <c r="L46" s="323">
        <f t="shared" si="76"/>
        <v>0</v>
      </c>
      <c r="M46" s="367"/>
      <c r="N46" s="336">
        <f>SUMIF($D$34:$D$45,"Post-Doc",N34:N45)</f>
        <v>0</v>
      </c>
      <c r="O46" s="336">
        <f>SUMIF($D$34:$D$45,"Post-Doc",O34:O45)</f>
        <v>0</v>
      </c>
      <c r="P46" s="336">
        <f>N46+O46</f>
        <v>0</v>
      </c>
      <c r="Q46" s="333"/>
      <c r="R46" s="334">
        <f>SUMIF($D$34:$D$45,"Post-Doc",$R$34:$R$45)</f>
        <v>0</v>
      </c>
      <c r="S46" s="367"/>
      <c r="T46" s="336">
        <f>SUMIF($D$34:$D$45,"Post-Doc",T34:T45)</f>
        <v>0</v>
      </c>
      <c r="U46" s="336">
        <f>SUMIF($D$34:$D$45,"Post-Doc",U34:U45)</f>
        <v>0</v>
      </c>
      <c r="V46" s="338">
        <f>T46+U46</f>
        <v>0</v>
      </c>
      <c r="W46" s="324">
        <f t="shared" si="64"/>
        <v>0</v>
      </c>
      <c r="X46" s="334">
        <f>SUMIF($D$34:$D$45,"Post-Doc",$X$34:$X$45)</f>
        <v>0</v>
      </c>
      <c r="Y46" s="367"/>
      <c r="Z46" s="336">
        <f>SUMIF($D$34:$D$45,"Post-Doc",Z34:Z45)</f>
        <v>0</v>
      </c>
      <c r="AA46" s="336">
        <f>SUMIF($D$34:$D$45,"Post-Doc",AA34:AA45)</f>
        <v>0</v>
      </c>
      <c r="AB46" s="336">
        <f t="shared" si="109"/>
        <v>0</v>
      </c>
      <c r="AC46" s="337"/>
      <c r="AD46" s="334">
        <f>SUMIF($D$34:$D$45,"Post-Doc",$AD$34:$AD$45)</f>
        <v>0</v>
      </c>
      <c r="AE46" s="367"/>
      <c r="AF46" s="336">
        <f>SUMIF($D$34:$D$45,"Post-Doc",AF34:AF45)</f>
        <v>0</v>
      </c>
      <c r="AG46" s="336">
        <f>SUMIF($D$34:$D$45,"Post-Doc",AG34:AG45)</f>
        <v>0</v>
      </c>
      <c r="AH46" s="336">
        <f t="shared" si="115"/>
        <v>0</v>
      </c>
      <c r="AI46" s="337"/>
      <c r="AJ46" s="334">
        <f>SUMIF($D$34:$D$45,"Post-Doc",$AJ$34:$AJ$45)</f>
        <v>0</v>
      </c>
      <c r="AK46" s="367"/>
      <c r="AL46" s="336">
        <f>SUMIF($D$34:$D$45,"Post-Doc",AL34:AL45)</f>
        <v>0</v>
      </c>
      <c r="AM46" s="336">
        <f>SUMIF($D$34:$D$45,"Post-Doc",AM34:AM45)</f>
        <v>0</v>
      </c>
      <c r="AN46" s="338">
        <f t="shared" si="75"/>
        <v>0</v>
      </c>
      <c r="AO46" s="109">
        <f t="shared" si="116"/>
        <v>0</v>
      </c>
    </row>
    <row r="47" spans="1:42" hidden="1" outlineLevel="2" x14ac:dyDescent="0.3">
      <c r="A47" s="327" t="s">
        <v>108</v>
      </c>
      <c r="B47" s="328">
        <f>COUNTIF(D34:D45,"Grad Student")</f>
        <v>0</v>
      </c>
      <c r="C47" s="328"/>
      <c r="D47" s="328"/>
      <c r="E47" s="329"/>
      <c r="F47" s="330"/>
      <c r="G47" s="329"/>
      <c r="H47" s="329"/>
      <c r="I47" s="331"/>
      <c r="J47" s="332"/>
      <c r="K47" s="333"/>
      <c r="L47" s="323">
        <f t="shared" si="76"/>
        <v>0</v>
      </c>
      <c r="M47" s="335"/>
      <c r="N47" s="336">
        <f>SUMIF($D$34:$D$45,"Grad Student",N34:N45)</f>
        <v>0</v>
      </c>
      <c r="O47" s="336">
        <f>SUMIF($D$34:$D$45,"Grad Student",O34:O45)</f>
        <v>0</v>
      </c>
      <c r="P47" s="336">
        <f t="shared" ref="P47:P48" si="117">N47+O47</f>
        <v>0</v>
      </c>
      <c r="Q47" s="333"/>
      <c r="R47" s="334">
        <f>SUMIF($D$34:$D$45,"Grad Student",$R$34:$R$45)</f>
        <v>0</v>
      </c>
      <c r="S47" s="335"/>
      <c r="T47" s="336">
        <f>SUMIF($D$34:$D$45,"Grad Student",T34:T45)</f>
        <v>0</v>
      </c>
      <c r="U47" s="336">
        <f>SUMIF($D$34:$D$45,"Grad Student",U34:U45)</f>
        <v>0</v>
      </c>
      <c r="V47" s="338">
        <f t="shared" ref="V47:V48" si="118">T47+U47</f>
        <v>0</v>
      </c>
      <c r="W47" s="324">
        <f t="shared" si="64"/>
        <v>0</v>
      </c>
      <c r="X47" s="334">
        <f>SUMIF($D$34:$D$45,"Grad Student",$X$34:$X$45)</f>
        <v>0</v>
      </c>
      <c r="Y47" s="335"/>
      <c r="Z47" s="336">
        <f>SUMIF($D$34:$D$45,"Grad Student",Z34:Z45)</f>
        <v>0</v>
      </c>
      <c r="AA47" s="336">
        <f>SUMIF($D$34:$D$45,"Grad Student",AA34:AA45)</f>
        <v>0</v>
      </c>
      <c r="AB47" s="336">
        <f t="shared" si="109"/>
        <v>0</v>
      </c>
      <c r="AC47" s="337"/>
      <c r="AD47" s="334">
        <f>SUMIF($D$34:$D$45,"Grad Student",$AD$34:$AD$45)</f>
        <v>0</v>
      </c>
      <c r="AE47" s="335"/>
      <c r="AF47" s="336">
        <f>SUMIF($D$34:$D$45,"Grad Student",AF34:AF45)</f>
        <v>0</v>
      </c>
      <c r="AG47" s="336">
        <f>SUMIF($D$34:$D$45,"Grad Student",AG34:AG45)</f>
        <v>0</v>
      </c>
      <c r="AH47" s="336">
        <f t="shared" si="115"/>
        <v>0</v>
      </c>
      <c r="AI47" s="337"/>
      <c r="AJ47" s="334">
        <f>SUMIF($D$34:$D$45,"Grad Student",$AJ$34:$AJ$45)</f>
        <v>0</v>
      </c>
      <c r="AK47" s="335"/>
      <c r="AL47" s="336">
        <f>SUMIF($D$34:$D$45,"Grad Student",AL34:AL45)</f>
        <v>0</v>
      </c>
      <c r="AM47" s="336">
        <f>SUMIF($D$34:$D$45,"Grad Student",AM34:AM45)</f>
        <v>0</v>
      </c>
      <c r="AN47" s="338">
        <f t="shared" si="75"/>
        <v>0</v>
      </c>
      <c r="AO47" s="109">
        <f t="shared" si="116"/>
        <v>0</v>
      </c>
    </row>
    <row r="48" spans="1:42" hidden="1" outlineLevel="2" x14ac:dyDescent="0.3">
      <c r="A48" s="383" t="s">
        <v>109</v>
      </c>
      <c r="B48" s="384">
        <f>COUNTIF(D34:D45,"Undergrad")</f>
        <v>0</v>
      </c>
      <c r="C48" s="384"/>
      <c r="D48" s="384"/>
      <c r="E48" s="385"/>
      <c r="F48" s="386"/>
      <c r="G48" s="385"/>
      <c r="H48" s="385"/>
      <c r="I48" s="387"/>
      <c r="J48" s="388"/>
      <c r="K48" s="389"/>
      <c r="L48" s="323">
        <f t="shared" si="76"/>
        <v>0</v>
      </c>
      <c r="M48" s="391"/>
      <c r="N48" s="392">
        <f>SUMIF($D$34:$D$45,"Undergrad",N34:N45)</f>
        <v>0</v>
      </c>
      <c r="O48" s="392">
        <f>SUMIF($D$34:$D$45,"Undergrad",O34:O45)</f>
        <v>0</v>
      </c>
      <c r="P48" s="392">
        <f t="shared" si="117"/>
        <v>0</v>
      </c>
      <c r="Q48" s="389"/>
      <c r="R48" s="390">
        <f>SUMIF($D$34:$D$45,"Undergrad",$R$34:$R$45)</f>
        <v>0</v>
      </c>
      <c r="S48" s="391"/>
      <c r="T48" s="392">
        <f>SUMIF($D$34:$D$45,"Undergrad",T34:T45)</f>
        <v>0</v>
      </c>
      <c r="U48" s="392">
        <f>SUMIF($D$34:$D$45,"Undergrad",U34:U45)</f>
        <v>0</v>
      </c>
      <c r="V48" s="394">
        <f t="shared" si="118"/>
        <v>0</v>
      </c>
      <c r="W48" s="324">
        <f t="shared" si="64"/>
        <v>0</v>
      </c>
      <c r="X48" s="390">
        <f>SUMIF($D$34:$D$45,"Undergrad",$X$34:$X$45)</f>
        <v>0</v>
      </c>
      <c r="Y48" s="391"/>
      <c r="Z48" s="392">
        <f>SUMIF($D$34:$D$45,"Undergrad",Z26:Z45)</f>
        <v>0</v>
      </c>
      <c r="AA48" s="392">
        <f>SUMIF($D$34:$D$45,"Undergrad",AA34:AA45)</f>
        <v>0</v>
      </c>
      <c r="AB48" s="392">
        <f t="shared" si="109"/>
        <v>0</v>
      </c>
      <c r="AC48" s="393"/>
      <c r="AD48" s="390">
        <f>SUMIF($D$34:$D$45,"Undergrad",$AD$34:$AD$45)</f>
        <v>0</v>
      </c>
      <c r="AE48" s="391"/>
      <c r="AF48" s="392">
        <f>SUMIF($D$34:$D$45,"Undergrad",AF34:AF45)</f>
        <v>0</v>
      </c>
      <c r="AG48" s="392">
        <f>SUMIF($D$34:$D$45,"Undergrad",AG34:AG45)</f>
        <v>0</v>
      </c>
      <c r="AH48" s="392">
        <f t="shared" si="115"/>
        <v>0</v>
      </c>
      <c r="AI48" s="393"/>
      <c r="AJ48" s="390">
        <f>SUMIF($D$34:$D$45,"Undergrad",$AJ$34:$AJ$45)</f>
        <v>0</v>
      </c>
      <c r="AK48" s="391"/>
      <c r="AL48" s="392">
        <f>SUMIF($D$34:$D$45,"Undergrad",AL34:AL45)</f>
        <v>0</v>
      </c>
      <c r="AM48" s="392">
        <f>SUMIF($D$34:$D$45,"Undergrad",AM34:AM45)</f>
        <v>0</v>
      </c>
      <c r="AN48" s="394">
        <f t="shared" si="75"/>
        <v>0</v>
      </c>
      <c r="AO48" s="109">
        <f t="shared" si="116"/>
        <v>0</v>
      </c>
    </row>
    <row r="49" spans="1:41" s="5" customFormat="1" ht="15" outlineLevel="1" collapsed="1" thickBot="1" x14ac:dyDescent="0.35">
      <c r="A49" s="395" t="s">
        <v>110</v>
      </c>
      <c r="B49" s="396"/>
      <c r="C49" s="396"/>
      <c r="D49" s="396"/>
      <c r="E49" s="396"/>
      <c r="F49" s="396"/>
      <c r="G49" s="396"/>
      <c r="H49" s="396"/>
      <c r="I49" s="396"/>
      <c r="J49" s="397"/>
      <c r="K49" s="398"/>
      <c r="L49" s="399"/>
      <c r="M49" s="400"/>
      <c r="N49" s="401">
        <f>SUM(N34:N45)</f>
        <v>91720.800000000017</v>
      </c>
      <c r="O49" s="401">
        <f>SUM(O34:O45)</f>
        <v>18634.080000000002</v>
      </c>
      <c r="P49" s="402">
        <f>SUM(P34:P45)</f>
        <v>110354.88000000003</v>
      </c>
      <c r="Q49" s="398"/>
      <c r="R49" s="399"/>
      <c r="S49" s="400"/>
      <c r="T49" s="401">
        <f>SUM(T34:T45)</f>
        <v>177278.04</v>
      </c>
      <c r="U49" s="401">
        <f>SUM(U34:U45)</f>
        <v>40784.904000000002</v>
      </c>
      <c r="V49" s="403">
        <f>SUM(V34:V45)</f>
        <v>218062.94400000002</v>
      </c>
      <c r="W49" s="428"/>
      <c r="X49" s="399"/>
      <c r="Y49" s="399"/>
      <c r="Z49" s="401">
        <f>SUM(Z34:Z45)</f>
        <v>180823.60080000001</v>
      </c>
      <c r="AA49" s="401">
        <f>SUM(AA34:AA45)</f>
        <v>41600.602080000011</v>
      </c>
      <c r="AB49" s="402">
        <f>SUM(AB34:AB45)</f>
        <v>222424.20288000003</v>
      </c>
      <c r="AC49" s="398"/>
      <c r="AD49" s="399"/>
      <c r="AE49" s="400"/>
      <c r="AF49" s="401">
        <f>SUM(AF34:AF45)</f>
        <v>133596.74856960002</v>
      </c>
      <c r="AG49" s="401">
        <f>SUM(AG34:AG45)</f>
        <v>27797.409696960003</v>
      </c>
      <c r="AH49" s="402">
        <f>SUM(AH34:AH45)</f>
        <v>161394.15826656003</v>
      </c>
      <c r="AI49" s="398"/>
      <c r="AJ49" s="399"/>
      <c r="AK49" s="400"/>
      <c r="AL49" s="401">
        <f>SUM(AL34:AL45)</f>
        <v>0</v>
      </c>
      <c r="AM49" s="401">
        <f>SUM(AM34:AM45)</f>
        <v>0</v>
      </c>
      <c r="AN49" s="403">
        <f>SUM(AN34:AN45)</f>
        <v>0</v>
      </c>
      <c r="AO49" s="216">
        <f>SUM(AO34:AO45)</f>
        <v>712236.18514656008</v>
      </c>
    </row>
    <row r="50" spans="1:41" s="5" customFormat="1" ht="15" thickBot="1" x14ac:dyDescent="0.35">
      <c r="A50" s="97" t="s">
        <v>111</v>
      </c>
      <c r="B50" s="98"/>
      <c r="C50" s="98"/>
      <c r="D50" s="98"/>
      <c r="E50" s="98"/>
      <c r="F50" s="98"/>
      <c r="G50" s="98"/>
      <c r="H50" s="98"/>
      <c r="I50" s="98"/>
      <c r="J50" s="99"/>
      <c r="K50" s="100"/>
      <c r="L50" s="101"/>
      <c r="M50" s="102"/>
      <c r="N50" s="103">
        <f>N32+N49</f>
        <v>132449.70000000001</v>
      </c>
      <c r="O50" s="103">
        <f>O32+O49</f>
        <v>29928.377000000004</v>
      </c>
      <c r="P50" s="374">
        <f>P32+P49</f>
        <v>162378.07700000005</v>
      </c>
      <c r="Q50" s="100"/>
      <c r="R50" s="101"/>
      <c r="S50" s="102"/>
      <c r="T50" s="103">
        <f>T32+T49</f>
        <v>266391.20699999999</v>
      </c>
      <c r="U50" s="103">
        <f>U32+U49</f>
        <v>67176.481410000008</v>
      </c>
      <c r="V50" s="375">
        <f>V32+V49</f>
        <v>333567.68841</v>
      </c>
      <c r="W50" s="536"/>
      <c r="X50" s="101"/>
      <c r="Y50" s="101"/>
      <c r="Z50" s="103">
        <f>Z32+Z49</f>
        <v>279938.19114000001</v>
      </c>
      <c r="AA50" s="103">
        <f>AA32+AA49</f>
        <v>71314.525438200013</v>
      </c>
      <c r="AB50" s="374">
        <f>AB32+AB49</f>
        <v>351252.71657820005</v>
      </c>
      <c r="AC50" s="100"/>
      <c r="AD50" s="101"/>
      <c r="AE50" s="102"/>
      <c r="AF50" s="103">
        <f>AF32+AF49</f>
        <v>224490.11579640003</v>
      </c>
      <c r="AG50" s="103">
        <f>AG32+AG49</f>
        <v>54636.416449524011</v>
      </c>
      <c r="AH50" s="374">
        <f>AH32+AH49</f>
        <v>279126.53224592406</v>
      </c>
      <c r="AI50" s="100"/>
      <c r="AJ50" s="101"/>
      <c r="AK50" s="102"/>
      <c r="AL50" s="103">
        <f>AL32+AL49</f>
        <v>0</v>
      </c>
      <c r="AM50" s="103">
        <f>AM32+AM49</f>
        <v>0</v>
      </c>
      <c r="AN50" s="375">
        <f>AN32+AN49</f>
        <v>0</v>
      </c>
      <c r="AO50" s="218">
        <f>SUM(AO32,AO49)</f>
        <v>1126325.0142341242</v>
      </c>
    </row>
    <row r="51" spans="1:41" outlineLevel="1" x14ac:dyDescent="0.3">
      <c r="A51" s="411" t="s">
        <v>112</v>
      </c>
      <c r="B51" s="412"/>
      <c r="C51" s="412"/>
      <c r="D51" s="412"/>
      <c r="E51" s="412"/>
      <c r="F51" s="412"/>
      <c r="G51" s="412"/>
      <c r="H51" s="412"/>
      <c r="I51" s="412"/>
      <c r="J51" s="413"/>
      <c r="K51" s="74"/>
      <c r="M51" s="75"/>
      <c r="N51" s="2"/>
      <c r="O51" s="2"/>
      <c r="P51" s="2"/>
      <c r="Q51" s="74"/>
      <c r="S51" s="75"/>
      <c r="T51" s="2"/>
      <c r="U51" s="2"/>
      <c r="V51" s="3"/>
      <c r="W51" s="2"/>
      <c r="Y51" s="75"/>
      <c r="Z51" s="2"/>
      <c r="AA51" s="2"/>
      <c r="AB51" s="2"/>
      <c r="AC51" s="74"/>
      <c r="AE51" s="75"/>
      <c r="AF51" s="2"/>
      <c r="AG51" s="2"/>
      <c r="AH51" s="2"/>
      <c r="AI51" s="74"/>
      <c r="AK51" s="75"/>
      <c r="AL51" s="2"/>
      <c r="AM51" s="2"/>
      <c r="AN51" s="3"/>
      <c r="AO51" s="105"/>
    </row>
    <row r="52" spans="1:41" outlineLevel="1" x14ac:dyDescent="0.3">
      <c r="A52" s="340" t="s">
        <v>113</v>
      </c>
      <c r="B52" s="341"/>
      <c r="C52" s="341"/>
      <c r="D52" s="341"/>
      <c r="E52" s="341"/>
      <c r="F52" s="341"/>
      <c r="G52" s="341"/>
      <c r="H52" s="341"/>
      <c r="I52" s="341"/>
      <c r="J52" s="414"/>
      <c r="K52" s="322"/>
      <c r="L52" s="323"/>
      <c r="M52" s="339"/>
      <c r="N52" s="324"/>
      <c r="O52" s="324"/>
      <c r="P52" s="514"/>
      <c r="Q52" s="322"/>
      <c r="R52" s="323"/>
      <c r="S52" s="339"/>
      <c r="T52" s="324"/>
      <c r="U52" s="324"/>
      <c r="V52" s="76"/>
      <c r="W52" s="324"/>
      <c r="X52" s="323"/>
      <c r="Y52" s="339"/>
      <c r="Z52" s="324"/>
      <c r="AA52" s="324"/>
      <c r="AB52" s="76"/>
      <c r="AC52" s="322"/>
      <c r="AD52" s="323"/>
      <c r="AE52" s="339"/>
      <c r="AF52" s="324"/>
      <c r="AG52" s="324"/>
      <c r="AH52" s="76"/>
      <c r="AI52" s="322"/>
      <c r="AJ52" s="323"/>
      <c r="AK52" s="339"/>
      <c r="AL52" s="324"/>
      <c r="AM52" s="324"/>
      <c r="AN52" s="76"/>
      <c r="AO52" s="217">
        <f>SUM(P52:AN52)</f>
        <v>0</v>
      </c>
    </row>
    <row r="53" spans="1:41" ht="15" outlineLevel="1" thickBot="1" x14ac:dyDescent="0.35">
      <c r="A53" s="668" t="s">
        <v>114</v>
      </c>
      <c r="B53" s="668"/>
      <c r="C53" s="668"/>
      <c r="D53" s="668"/>
      <c r="E53" s="668"/>
      <c r="F53" s="668"/>
      <c r="G53" s="378"/>
      <c r="H53" s="378"/>
      <c r="I53" s="378"/>
      <c r="J53" s="378"/>
      <c r="K53" s="357"/>
      <c r="L53" s="379"/>
      <c r="M53" s="380"/>
      <c r="N53" s="358"/>
      <c r="O53" s="358"/>
      <c r="P53" s="514">
        <v>7200</v>
      </c>
      <c r="Q53" s="357"/>
      <c r="R53" s="379"/>
      <c r="S53" s="380"/>
      <c r="T53" s="358"/>
      <c r="U53" s="358"/>
      <c r="V53" s="76"/>
      <c r="W53" s="358"/>
      <c r="X53" s="379"/>
      <c r="Y53" s="380"/>
      <c r="Z53" s="358"/>
      <c r="AA53" s="358"/>
      <c r="AB53" s="76"/>
      <c r="AC53" s="357"/>
      <c r="AD53" s="379"/>
      <c r="AE53" s="380"/>
      <c r="AF53" s="358"/>
      <c r="AG53" s="358"/>
      <c r="AH53" s="376"/>
      <c r="AI53" s="357"/>
      <c r="AJ53" s="379"/>
      <c r="AK53" s="380"/>
      <c r="AL53" s="358"/>
      <c r="AM53" s="358"/>
      <c r="AN53" s="376"/>
      <c r="AO53" s="217">
        <f>SUM(P53:AN53)</f>
        <v>7200</v>
      </c>
    </row>
    <row r="54" spans="1:41" s="5" customFormat="1" ht="15" thickBot="1" x14ac:dyDescent="0.35">
      <c r="A54" s="302" t="s">
        <v>115</v>
      </c>
      <c r="B54" s="303"/>
      <c r="C54" s="303"/>
      <c r="D54" s="303"/>
      <c r="E54" s="303"/>
      <c r="F54" s="303"/>
      <c r="G54" s="303"/>
      <c r="H54" s="303"/>
      <c r="I54" s="303"/>
      <c r="J54" s="303"/>
      <c r="K54" s="295"/>
      <c r="L54" s="296"/>
      <c r="M54" s="297"/>
      <c r="N54" s="299"/>
      <c r="O54" s="299"/>
      <c r="P54" s="299">
        <f>SUM(P52:P53)</f>
        <v>7200</v>
      </c>
      <c r="Q54" s="295"/>
      <c r="R54" s="296"/>
      <c r="S54" s="297"/>
      <c r="T54" s="299"/>
      <c r="U54" s="299"/>
      <c r="V54" s="300">
        <f>SUM(V52:V53)</f>
        <v>0</v>
      </c>
      <c r="W54" s="299"/>
      <c r="X54" s="296"/>
      <c r="Y54" s="297"/>
      <c r="Z54" s="299"/>
      <c r="AA54" s="299"/>
      <c r="AB54" s="299">
        <f>SUM(AB52:AB53)</f>
        <v>0</v>
      </c>
      <c r="AC54" s="295"/>
      <c r="AD54" s="296"/>
      <c r="AE54" s="297"/>
      <c r="AF54" s="299"/>
      <c r="AG54" s="299"/>
      <c r="AH54" s="381">
        <f>SUM(AH52:AH53)</f>
        <v>0</v>
      </c>
      <c r="AI54" s="295"/>
      <c r="AJ54" s="296"/>
      <c r="AK54" s="297"/>
      <c r="AL54" s="299"/>
      <c r="AM54" s="299"/>
      <c r="AN54" s="382">
        <f>SUM(AN52:AN53)</f>
        <v>0</v>
      </c>
      <c r="AO54" s="218">
        <f>SUM(AO52:AO53)</f>
        <v>7200</v>
      </c>
    </row>
    <row r="55" spans="1:41" outlineLevel="1" x14ac:dyDescent="0.3">
      <c r="A55" s="411" t="s">
        <v>116</v>
      </c>
      <c r="B55" s="412"/>
      <c r="C55" s="412"/>
      <c r="D55" s="412"/>
      <c r="E55" s="412"/>
      <c r="F55" s="412"/>
      <c r="G55" s="412"/>
      <c r="H55" s="412"/>
      <c r="I55" s="412"/>
      <c r="J55" s="413"/>
      <c r="K55" s="363"/>
      <c r="L55" s="364"/>
      <c r="M55" s="373"/>
      <c r="N55" s="365"/>
      <c r="O55" s="365"/>
      <c r="P55" s="2"/>
      <c r="Q55" s="363"/>
      <c r="R55" s="364"/>
      <c r="S55" s="373"/>
      <c r="T55" s="365"/>
      <c r="U55" s="365"/>
      <c r="V55" s="3"/>
      <c r="W55" s="365"/>
      <c r="X55" s="364"/>
      <c r="Y55" s="373"/>
      <c r="Z55" s="365"/>
      <c r="AA55" s="365"/>
      <c r="AB55" s="2"/>
      <c r="AC55" s="363"/>
      <c r="AD55" s="364"/>
      <c r="AE55" s="373"/>
      <c r="AF55" s="365"/>
      <c r="AG55" s="365"/>
      <c r="AH55" s="2"/>
      <c r="AI55" s="363"/>
      <c r="AJ55" s="364"/>
      <c r="AK55" s="373"/>
      <c r="AL55" s="365"/>
      <c r="AM55" s="365"/>
      <c r="AN55" s="3"/>
      <c r="AO55" s="105"/>
    </row>
    <row r="56" spans="1:41" outlineLevel="1" x14ac:dyDescent="0.3">
      <c r="A56" s="340" t="s">
        <v>117</v>
      </c>
      <c r="B56" s="341"/>
      <c r="C56" s="341"/>
      <c r="D56" s="341"/>
      <c r="E56" s="341"/>
      <c r="F56" s="341"/>
      <c r="G56" s="341"/>
      <c r="H56" s="341"/>
      <c r="I56" s="341"/>
      <c r="J56" s="414"/>
      <c r="K56" s="322" t="s">
        <v>118</v>
      </c>
      <c r="L56" s="323"/>
      <c r="M56" s="339"/>
      <c r="N56" s="324"/>
      <c r="O56" s="324"/>
      <c r="P56" s="514">
        <v>5000</v>
      </c>
      <c r="Q56" s="322" t="s">
        <v>119</v>
      </c>
      <c r="R56" s="323"/>
      <c r="S56" s="339"/>
      <c r="T56" s="324"/>
      <c r="U56" s="324"/>
      <c r="V56" s="76">
        <v>8000</v>
      </c>
      <c r="W56" s="324" t="s">
        <v>120</v>
      </c>
      <c r="X56" s="323"/>
      <c r="Y56" s="339"/>
      <c r="Z56" s="324"/>
      <c r="AA56" s="324"/>
      <c r="AB56" s="76">
        <v>9500</v>
      </c>
      <c r="AC56" s="322" t="s">
        <v>121</v>
      </c>
      <c r="AD56" s="323"/>
      <c r="AE56" s="339"/>
      <c r="AF56" s="324"/>
      <c r="AG56" s="324"/>
      <c r="AH56" s="76">
        <v>9500</v>
      </c>
      <c r="AI56" s="322"/>
      <c r="AJ56" s="323"/>
      <c r="AK56" s="339"/>
      <c r="AL56" s="324"/>
      <c r="AM56" s="324"/>
      <c r="AN56" s="76"/>
      <c r="AO56" s="217">
        <f>SUM(P56:AN56)</f>
        <v>32000</v>
      </c>
    </row>
    <row r="57" spans="1:41" ht="15" outlineLevel="1" thickBot="1" x14ac:dyDescent="0.35">
      <c r="A57" s="377" t="s">
        <v>122</v>
      </c>
      <c r="B57" s="378"/>
      <c r="C57" s="378"/>
      <c r="D57" s="378"/>
      <c r="E57" s="378"/>
      <c r="F57" s="378"/>
      <c r="G57" s="378"/>
      <c r="H57" s="378"/>
      <c r="I57" s="378"/>
      <c r="J57" s="378"/>
      <c r="K57" s="357"/>
      <c r="L57" s="379"/>
      <c r="M57" s="380"/>
      <c r="N57" s="358"/>
      <c r="O57" s="358"/>
      <c r="P57" s="514"/>
      <c r="Q57" s="357"/>
      <c r="R57" s="379"/>
      <c r="S57" s="380"/>
      <c r="T57" s="358"/>
      <c r="U57" s="358"/>
      <c r="V57" s="76">
        <f>P57</f>
        <v>0</v>
      </c>
      <c r="W57" s="358"/>
      <c r="X57" s="379"/>
      <c r="Y57" s="380"/>
      <c r="Z57" s="358"/>
      <c r="AA57" s="358"/>
      <c r="AB57" s="76">
        <f>V57</f>
        <v>0</v>
      </c>
      <c r="AC57" s="357"/>
      <c r="AD57" s="379"/>
      <c r="AE57" s="380"/>
      <c r="AF57" s="358"/>
      <c r="AG57" s="358"/>
      <c r="AH57" s="76">
        <f t="shared" ref="AH57" si="119">AB57</f>
        <v>0</v>
      </c>
      <c r="AI57" s="357"/>
      <c r="AJ57" s="379"/>
      <c r="AK57" s="380"/>
      <c r="AL57" s="358"/>
      <c r="AM57" s="358"/>
      <c r="AN57" s="76">
        <f t="shared" ref="AN57" si="120">AH57</f>
        <v>0</v>
      </c>
      <c r="AO57" s="217">
        <f>SUM(P57:AN57)</f>
        <v>0</v>
      </c>
    </row>
    <row r="58" spans="1:41" s="5" customFormat="1" ht="15" thickBot="1" x14ac:dyDescent="0.35">
      <c r="A58" s="302" t="s">
        <v>123</v>
      </c>
      <c r="B58" s="303"/>
      <c r="C58" s="303"/>
      <c r="D58" s="303"/>
      <c r="E58" s="303"/>
      <c r="F58" s="303"/>
      <c r="G58" s="303"/>
      <c r="H58" s="303"/>
      <c r="I58" s="303"/>
      <c r="J58" s="303"/>
      <c r="K58" s="295"/>
      <c r="L58" s="296"/>
      <c r="M58" s="297"/>
      <c r="N58" s="299"/>
      <c r="O58" s="299"/>
      <c r="P58" s="299">
        <f>SUM(P56:P57)</f>
        <v>5000</v>
      </c>
      <c r="Q58" s="295"/>
      <c r="R58" s="296"/>
      <c r="S58" s="297"/>
      <c r="T58" s="299"/>
      <c r="U58" s="299"/>
      <c r="V58" s="300">
        <f>SUM(V56:V57)</f>
        <v>8000</v>
      </c>
      <c r="W58" s="299"/>
      <c r="X58" s="296"/>
      <c r="Y58" s="297"/>
      <c r="Z58" s="299"/>
      <c r="AA58" s="299"/>
      <c r="AB58" s="299">
        <f>SUM(AB56:AB57)</f>
        <v>9500</v>
      </c>
      <c r="AC58" s="295"/>
      <c r="AD58" s="296"/>
      <c r="AE58" s="297"/>
      <c r="AF58" s="299"/>
      <c r="AG58" s="299"/>
      <c r="AH58" s="299">
        <f>SUM(AH56:AH57)</f>
        <v>9500</v>
      </c>
      <c r="AI58" s="295"/>
      <c r="AJ58" s="296"/>
      <c r="AK58" s="297"/>
      <c r="AL58" s="299"/>
      <c r="AM58" s="299"/>
      <c r="AN58" s="300">
        <f>SUM(AN56:AN57)</f>
        <v>0</v>
      </c>
      <c r="AO58" s="218">
        <f>SUM(AO56:AO57)</f>
        <v>32000</v>
      </c>
    </row>
    <row r="59" spans="1:41" outlineLevel="1" x14ac:dyDescent="0.3">
      <c r="A59" s="411" t="s">
        <v>124</v>
      </c>
      <c r="B59" s="412"/>
      <c r="C59" s="412"/>
      <c r="D59" s="412"/>
      <c r="E59" s="412"/>
      <c r="F59" s="412"/>
      <c r="G59" s="412"/>
      <c r="H59" s="412"/>
      <c r="I59" s="412"/>
      <c r="J59" s="413"/>
      <c r="K59" s="363"/>
      <c r="L59" s="364"/>
      <c r="M59" s="373"/>
      <c r="N59" s="365"/>
      <c r="O59" s="365"/>
      <c r="P59" s="2"/>
      <c r="Q59" s="363"/>
      <c r="R59" s="364"/>
      <c r="S59" s="373"/>
      <c r="T59" s="365"/>
      <c r="U59" s="365"/>
      <c r="V59" s="3"/>
      <c r="AB59" s="3"/>
      <c r="AI59" s="363"/>
      <c r="AJ59" s="364"/>
      <c r="AK59" s="373"/>
      <c r="AL59" s="365"/>
      <c r="AM59" s="365"/>
      <c r="AN59" s="3"/>
      <c r="AO59" s="217">
        <f>SUM(P59:AN59)</f>
        <v>0</v>
      </c>
    </row>
    <row r="60" spans="1:41" outlineLevel="1" x14ac:dyDescent="0.3">
      <c r="A60" s="340" t="s">
        <v>125</v>
      </c>
      <c r="B60" s="341"/>
      <c r="C60" s="341"/>
      <c r="D60" s="341"/>
      <c r="E60" s="341"/>
      <c r="F60" s="341"/>
      <c r="G60" s="341"/>
      <c r="H60" s="341"/>
      <c r="I60" s="341"/>
      <c r="J60" s="414"/>
      <c r="K60" s="363"/>
      <c r="L60" s="364"/>
      <c r="M60" s="373"/>
      <c r="N60" s="365"/>
      <c r="O60" s="365"/>
      <c r="P60" s="514"/>
      <c r="Q60" s="322"/>
      <c r="R60" s="323"/>
      <c r="S60" s="339"/>
      <c r="T60" s="324"/>
      <c r="U60" s="324"/>
      <c r="V60" s="76"/>
      <c r="X60" s="1"/>
      <c r="Y60" s="1"/>
      <c r="AB60" s="76"/>
      <c r="AC60" s="322"/>
      <c r="AD60" s="323"/>
      <c r="AE60" s="339"/>
      <c r="AF60" s="324"/>
      <c r="AG60" s="324"/>
      <c r="AH60" s="76">
        <v>0</v>
      </c>
      <c r="AI60" s="322"/>
      <c r="AJ60" s="323"/>
      <c r="AK60" s="339"/>
      <c r="AL60" s="324"/>
      <c r="AM60" s="324"/>
      <c r="AN60" s="76">
        <v>0</v>
      </c>
      <c r="AO60" s="217">
        <f t="shared" ref="AO60:AO66" si="121">SUM(P60:AN60)</f>
        <v>0</v>
      </c>
    </row>
    <row r="61" spans="1:41" outlineLevel="1" x14ac:dyDescent="0.3">
      <c r="A61" s="340"/>
      <c r="B61" s="341"/>
      <c r="C61" s="341"/>
      <c r="D61" s="341"/>
      <c r="E61" s="341"/>
      <c r="F61" s="341"/>
      <c r="G61" s="341"/>
      <c r="H61" s="341"/>
      <c r="I61" s="341"/>
      <c r="J61" s="414"/>
      <c r="K61" s="363"/>
      <c r="L61" s="364"/>
      <c r="M61" s="373"/>
      <c r="N61" s="365"/>
      <c r="O61" s="365"/>
      <c r="P61" s="514"/>
      <c r="Q61" s="322"/>
      <c r="R61" s="323"/>
      <c r="S61" s="339"/>
      <c r="T61" s="324"/>
      <c r="U61" s="324"/>
      <c r="V61" s="76"/>
      <c r="W61" s="324"/>
      <c r="X61" s="323"/>
      <c r="Y61" s="339"/>
      <c r="Z61" s="324"/>
      <c r="AA61" s="324"/>
      <c r="AB61" s="76"/>
      <c r="AC61" s="322"/>
      <c r="AD61" s="323"/>
      <c r="AE61" s="339"/>
      <c r="AF61" s="324"/>
      <c r="AG61" s="324"/>
      <c r="AH61" s="76"/>
      <c r="AI61" s="322"/>
      <c r="AJ61" s="323"/>
      <c r="AK61" s="339"/>
      <c r="AL61" s="324"/>
      <c r="AM61" s="324"/>
      <c r="AN61" s="76">
        <v>0</v>
      </c>
      <c r="AO61" s="217">
        <f t="shared" si="121"/>
        <v>0</v>
      </c>
    </row>
    <row r="62" spans="1:41" outlineLevel="1" x14ac:dyDescent="0.3">
      <c r="A62" s="340" t="s">
        <v>126</v>
      </c>
      <c r="B62" s="341"/>
      <c r="C62" s="341"/>
      <c r="D62" s="341"/>
      <c r="E62" s="341"/>
      <c r="F62" s="341"/>
      <c r="G62" s="341"/>
      <c r="H62" s="341"/>
      <c r="I62" s="341"/>
      <c r="J62" s="414" t="s">
        <v>127</v>
      </c>
      <c r="K62" s="1" t="s">
        <v>128</v>
      </c>
      <c r="L62" s="1"/>
      <c r="M62" s="1"/>
      <c r="P62" s="514">
        <v>17500</v>
      </c>
      <c r="Q62" s="322"/>
      <c r="R62" s="323"/>
      <c r="S62" s="339"/>
      <c r="T62" s="324"/>
      <c r="U62" s="324"/>
      <c r="V62" s="76"/>
      <c r="X62" s="1"/>
      <c r="Y62" s="1"/>
      <c r="AB62" s="76"/>
      <c r="AC62" s="322"/>
      <c r="AD62" s="323"/>
      <c r="AE62" s="339"/>
      <c r="AF62" s="324"/>
      <c r="AG62" s="324"/>
      <c r="AH62" s="76">
        <f>AB73</f>
        <v>66</v>
      </c>
      <c r="AI62" s="322"/>
      <c r="AJ62" s="323"/>
      <c r="AK62" s="339"/>
      <c r="AL62" s="324"/>
      <c r="AM62" s="324"/>
      <c r="AN62" s="76">
        <v>0</v>
      </c>
      <c r="AO62" s="217">
        <f t="shared" si="121"/>
        <v>17566</v>
      </c>
    </row>
    <row r="63" spans="1:41" outlineLevel="1" x14ac:dyDescent="0.3">
      <c r="A63" s="340" t="s">
        <v>129</v>
      </c>
      <c r="B63" s="341"/>
      <c r="C63" s="341"/>
      <c r="D63" s="341"/>
      <c r="E63" s="341"/>
      <c r="F63" s="341"/>
      <c r="G63" s="341"/>
      <c r="H63" s="341"/>
      <c r="I63" s="341"/>
      <c r="J63" s="414"/>
      <c r="K63" s="363" t="s">
        <v>130</v>
      </c>
      <c r="L63" s="364"/>
      <c r="M63" s="373"/>
      <c r="N63" s="365"/>
      <c r="O63" s="365"/>
      <c r="P63" s="514">
        <f>600*120</f>
        <v>72000</v>
      </c>
      <c r="Q63" s="322"/>
      <c r="R63" s="323"/>
      <c r="S63" s="339"/>
      <c r="T63" s="324"/>
      <c r="U63" s="324"/>
      <c r="V63" s="76"/>
      <c r="X63" s="1"/>
      <c r="Y63" s="1"/>
      <c r="AB63" s="76"/>
      <c r="AC63" s="322"/>
      <c r="AD63" s="323"/>
      <c r="AE63" s="339"/>
      <c r="AF63" s="324"/>
      <c r="AG63" s="324"/>
      <c r="AH63" s="76"/>
      <c r="AI63" s="322"/>
      <c r="AJ63" s="323"/>
      <c r="AK63" s="339"/>
      <c r="AL63" s="324"/>
      <c r="AM63" s="324"/>
      <c r="AN63" s="76"/>
      <c r="AO63" s="217">
        <f t="shared" si="121"/>
        <v>72000</v>
      </c>
    </row>
    <row r="64" spans="1:41" outlineLevel="1" x14ac:dyDescent="0.3">
      <c r="A64" s="340" t="s">
        <v>131</v>
      </c>
      <c r="B64" s="341"/>
      <c r="C64" s="341"/>
      <c r="D64" s="341"/>
      <c r="E64" s="341"/>
      <c r="F64" s="341"/>
      <c r="G64" s="341"/>
      <c r="H64" s="341"/>
      <c r="I64" s="341"/>
      <c r="J64" s="414"/>
      <c r="K64" s="363"/>
      <c r="L64" s="364"/>
      <c r="M64" s="373"/>
      <c r="N64" s="365"/>
      <c r="O64" s="365"/>
      <c r="P64" s="514"/>
      <c r="Q64" s="322" t="s">
        <v>132</v>
      </c>
      <c r="R64" s="323"/>
      <c r="S64" s="339"/>
      <c r="T64" s="324"/>
      <c r="U64" s="324"/>
      <c r="V64" s="76">
        <v>14000</v>
      </c>
      <c r="W64" s="324" t="s">
        <v>132</v>
      </c>
      <c r="X64" s="323"/>
      <c r="Y64" s="339"/>
      <c r="Z64" s="324"/>
      <c r="AA64" s="324"/>
      <c r="AB64" s="76">
        <v>14000</v>
      </c>
      <c r="AC64" s="322" t="s">
        <v>133</v>
      </c>
      <c r="AD64" s="323"/>
      <c r="AE64" s="339"/>
      <c r="AF64" s="324"/>
      <c r="AG64" s="324"/>
      <c r="AH64" s="76">
        <v>7000</v>
      </c>
      <c r="AI64" s="322"/>
      <c r="AJ64" s="323"/>
      <c r="AK64" s="339"/>
      <c r="AL64" s="324"/>
      <c r="AM64" s="324"/>
      <c r="AN64" s="76"/>
      <c r="AO64" s="217">
        <f t="shared" si="121"/>
        <v>35000</v>
      </c>
    </row>
    <row r="65" spans="1:41" outlineLevel="1" x14ac:dyDescent="0.3">
      <c r="A65" s="340" t="s">
        <v>134</v>
      </c>
      <c r="B65" s="341"/>
      <c r="C65" s="341"/>
      <c r="D65" s="341"/>
      <c r="E65" s="341"/>
      <c r="F65" s="341"/>
      <c r="G65" s="341"/>
      <c r="H65" s="341"/>
      <c r="I65" s="341"/>
      <c r="J65" s="414"/>
      <c r="K65" s="1" t="s">
        <v>135</v>
      </c>
      <c r="L65" s="1"/>
      <c r="M65" s="1"/>
      <c r="P65" s="514">
        <v>2750</v>
      </c>
      <c r="Q65" s="322" t="s">
        <v>136</v>
      </c>
      <c r="R65" s="323"/>
      <c r="S65" s="339"/>
      <c r="T65" s="324"/>
      <c r="U65" s="324"/>
      <c r="V65" s="76">
        <v>25250</v>
      </c>
      <c r="W65" s="2" t="s">
        <v>137</v>
      </c>
      <c r="Y65" s="75"/>
      <c r="Z65" s="2"/>
      <c r="AA65" s="2"/>
      <c r="AB65" s="514">
        <v>26000</v>
      </c>
      <c r="AC65" s="2" t="s">
        <v>138</v>
      </c>
      <c r="AE65" s="75"/>
      <c r="AF65" s="2"/>
      <c r="AG65" s="2"/>
      <c r="AH65" s="76">
        <v>10000</v>
      </c>
      <c r="AI65" s="2"/>
      <c r="AK65" s="75"/>
      <c r="AL65" s="2"/>
      <c r="AM65" s="2"/>
      <c r="AN65" s="514"/>
      <c r="AO65" s="217">
        <f t="shared" si="121"/>
        <v>64000</v>
      </c>
    </row>
    <row r="66" spans="1:41" ht="15" outlineLevel="1" thickBot="1" x14ac:dyDescent="0.35">
      <c r="A66" s="340" t="s">
        <v>139</v>
      </c>
      <c r="B66" s="341"/>
      <c r="C66" s="341"/>
      <c r="D66" s="341"/>
      <c r="E66" s="341"/>
      <c r="F66" s="341"/>
      <c r="G66" s="341"/>
      <c r="H66" s="341"/>
      <c r="I66" s="341"/>
      <c r="J66" s="414"/>
      <c r="K66" s="515" t="s">
        <v>140</v>
      </c>
      <c r="L66" s="1"/>
      <c r="M66" s="1"/>
      <c r="P66" s="514">
        <v>8900</v>
      </c>
      <c r="Q66" s="322" t="s">
        <v>141</v>
      </c>
      <c r="R66" s="323"/>
      <c r="S66" s="339"/>
      <c r="T66" s="324"/>
      <c r="U66" s="324"/>
      <c r="V66" s="76">
        <f>1300*117</f>
        <v>152100</v>
      </c>
      <c r="W66" s="1" t="s">
        <v>142</v>
      </c>
      <c r="X66" s="1"/>
      <c r="Y66" s="1"/>
      <c r="AB66" s="514">
        <v>156000</v>
      </c>
      <c r="AC66" s="1" t="s">
        <v>143</v>
      </c>
      <c r="AD66" s="1"/>
      <c r="AE66" s="1"/>
      <c r="AH66" s="76">
        <v>65000</v>
      </c>
      <c r="AJ66" s="1"/>
      <c r="AK66" s="1"/>
      <c r="AO66" s="217">
        <f t="shared" si="121"/>
        <v>382000</v>
      </c>
    </row>
    <row r="67" spans="1:41" s="5" customFormat="1" ht="15" thickBot="1" x14ac:dyDescent="0.35">
      <c r="A67" s="302" t="s">
        <v>144</v>
      </c>
      <c r="B67" s="303"/>
      <c r="C67" s="303"/>
      <c r="D67" s="303"/>
      <c r="E67" s="303"/>
      <c r="F67" s="303"/>
      <c r="G67" s="303"/>
      <c r="H67" s="303"/>
      <c r="I67" s="303"/>
      <c r="J67" s="303"/>
      <c r="K67" s="295"/>
      <c r="L67" s="296"/>
      <c r="M67" s="297"/>
      <c r="N67" s="299"/>
      <c r="O67" s="299"/>
      <c r="P67" s="381">
        <f>SUM(P59:P66)</f>
        <v>101150</v>
      </c>
      <c r="Q67" s="295"/>
      <c r="R67" s="296"/>
      <c r="S67" s="297"/>
      <c r="T67" s="299"/>
      <c r="U67" s="299"/>
      <c r="V67" s="300">
        <f>SUM(V59:V66)</f>
        <v>191350</v>
      </c>
      <c r="W67" s="299"/>
      <c r="X67" s="296"/>
      <c r="Y67" s="297"/>
      <c r="Z67" s="299"/>
      <c r="AA67" s="299"/>
      <c r="AB67" s="299">
        <f>SUM(AB59:AB66)</f>
        <v>196000</v>
      </c>
      <c r="AC67" s="295"/>
      <c r="AD67" s="296"/>
      <c r="AE67" s="297"/>
      <c r="AF67" s="299"/>
      <c r="AG67" s="299"/>
      <c r="AH67" s="299">
        <f>SUM(AH59:AH66)</f>
        <v>82066</v>
      </c>
      <c r="AI67" s="295"/>
      <c r="AJ67" s="296"/>
      <c r="AK67" s="297"/>
      <c r="AL67" s="299"/>
      <c r="AM67" s="299"/>
      <c r="AN67" s="300">
        <f>SUM(AN60:AN64)</f>
        <v>0</v>
      </c>
      <c r="AO67" s="218">
        <f>SUM(AO59:AO66)</f>
        <v>570566</v>
      </c>
    </row>
    <row r="68" spans="1:41" outlineLevel="1" x14ac:dyDescent="0.3">
      <c r="A68" s="411" t="s">
        <v>145</v>
      </c>
      <c r="B68" s="412"/>
      <c r="C68" s="412"/>
      <c r="D68" s="412"/>
      <c r="E68" s="412"/>
      <c r="F68" s="412"/>
      <c r="G68" s="412"/>
      <c r="H68" s="412"/>
      <c r="I68" s="412"/>
      <c r="J68" s="413"/>
      <c r="K68" s="404"/>
      <c r="L68" s="405"/>
      <c r="M68" s="406"/>
      <c r="N68" s="407"/>
      <c r="O68" s="407"/>
      <c r="P68" s="407"/>
      <c r="Q68" s="404"/>
      <c r="R68" s="405"/>
      <c r="S68" s="406"/>
      <c r="T68" s="407"/>
      <c r="U68" s="407"/>
      <c r="V68" s="408"/>
      <c r="W68" s="407"/>
      <c r="X68" s="405"/>
      <c r="Y68" s="406"/>
      <c r="Z68" s="407"/>
      <c r="AA68" s="407"/>
      <c r="AB68" s="407"/>
      <c r="AC68" s="404"/>
      <c r="AD68" s="405"/>
      <c r="AE68" s="406"/>
      <c r="AF68" s="407"/>
      <c r="AG68" s="407"/>
      <c r="AH68" s="407"/>
      <c r="AI68" s="404"/>
      <c r="AJ68" s="405"/>
      <c r="AK68" s="406"/>
      <c r="AL68" s="407"/>
      <c r="AM68" s="407"/>
      <c r="AN68" s="408"/>
      <c r="AO68" s="105"/>
    </row>
    <row r="69" spans="1:41" outlineLevel="1" x14ac:dyDescent="0.3">
      <c r="A69" s="409" t="s">
        <v>146</v>
      </c>
      <c r="B69" s="410"/>
      <c r="C69" s="410"/>
      <c r="D69" s="410"/>
      <c r="E69" s="410"/>
      <c r="F69" s="410"/>
      <c r="G69" s="410"/>
      <c r="H69" s="410"/>
      <c r="I69" s="410"/>
      <c r="J69" s="410"/>
      <c r="K69" s="363"/>
      <c r="L69" s="364"/>
      <c r="M69" s="373"/>
      <c r="N69" s="365"/>
      <c r="O69" s="365"/>
      <c r="P69" s="2"/>
      <c r="Q69" s="363"/>
      <c r="R69" s="364"/>
      <c r="S69" s="373"/>
      <c r="T69" s="365"/>
      <c r="U69" s="365"/>
      <c r="V69" s="3"/>
      <c r="W69" s="365"/>
      <c r="X69" s="364"/>
      <c r="Y69" s="373"/>
      <c r="Z69" s="365"/>
      <c r="AA69" s="365"/>
      <c r="AB69" s="2"/>
      <c r="AC69" s="363"/>
      <c r="AD69" s="364"/>
      <c r="AE69" s="373"/>
      <c r="AF69" s="365"/>
      <c r="AG69" s="365"/>
      <c r="AH69" s="2"/>
      <c r="AI69" s="363"/>
      <c r="AJ69" s="364"/>
      <c r="AK69" s="373"/>
      <c r="AL69" s="365"/>
      <c r="AM69" s="365"/>
      <c r="AN69" s="3"/>
      <c r="AO69" s="222"/>
    </row>
    <row r="70" spans="1:41" outlineLevel="1" x14ac:dyDescent="0.3">
      <c r="A70" s="409" t="s">
        <v>147</v>
      </c>
      <c r="B70" s="410"/>
      <c r="C70" s="410"/>
      <c r="D70" s="410"/>
      <c r="E70" s="410"/>
      <c r="F70" s="410"/>
      <c r="G70" s="410"/>
      <c r="H70" s="410"/>
      <c r="I70" s="410"/>
      <c r="J70" s="410"/>
      <c r="K70" s="513" t="s">
        <v>148</v>
      </c>
      <c r="L70" s="364"/>
      <c r="M70" s="373"/>
      <c r="N70" s="365"/>
      <c r="O70" s="365"/>
      <c r="P70" s="514">
        <f>2*600</f>
        <v>1200</v>
      </c>
      <c r="Q70" s="363"/>
      <c r="R70" s="364"/>
      <c r="S70" s="373"/>
      <c r="T70" s="365"/>
      <c r="U70" s="365"/>
      <c r="V70" s="76">
        <v>0</v>
      </c>
      <c r="W70" s="365"/>
      <c r="X70" s="364"/>
      <c r="Y70" s="373"/>
      <c r="Z70" s="365"/>
      <c r="AA70" s="365"/>
      <c r="AB70" s="76">
        <v>0</v>
      </c>
      <c r="AC70" s="363"/>
      <c r="AD70" s="364"/>
      <c r="AE70" s="373"/>
      <c r="AF70" s="365"/>
      <c r="AG70" s="365"/>
      <c r="AH70" s="76">
        <v>0</v>
      </c>
      <c r="AI70" s="363"/>
      <c r="AJ70" s="364"/>
      <c r="AK70" s="373"/>
      <c r="AL70" s="365"/>
      <c r="AM70" s="365"/>
      <c r="AN70" s="3"/>
      <c r="AO70" s="217">
        <f>SUM(P70:AN70)</f>
        <v>1200</v>
      </c>
    </row>
    <row r="71" spans="1:41" outlineLevel="1" x14ac:dyDescent="0.3">
      <c r="A71" s="340" t="s">
        <v>149</v>
      </c>
      <c r="B71" s="341"/>
      <c r="C71" s="341"/>
      <c r="D71" s="341"/>
      <c r="E71" s="341"/>
      <c r="F71" s="341"/>
      <c r="G71" s="341"/>
      <c r="H71" s="341"/>
      <c r="I71" s="341"/>
      <c r="J71" s="341"/>
      <c r="K71" s="322"/>
      <c r="L71" s="323"/>
      <c r="M71" s="339"/>
      <c r="N71" s="324"/>
      <c r="O71" s="324"/>
      <c r="P71" s="514">
        <v>5000</v>
      </c>
      <c r="Q71" s="363"/>
      <c r="R71" s="364"/>
      <c r="S71" s="373"/>
      <c r="T71" s="365"/>
      <c r="U71" s="365"/>
      <c r="V71" s="76">
        <v>0</v>
      </c>
      <c r="W71" s="324"/>
      <c r="X71" s="323"/>
      <c r="Y71" s="339"/>
      <c r="Z71" s="324"/>
      <c r="AA71" s="324"/>
      <c r="AB71" s="76">
        <v>0</v>
      </c>
      <c r="AC71" s="322"/>
      <c r="AD71" s="323"/>
      <c r="AE71" s="339"/>
      <c r="AF71" s="324"/>
      <c r="AG71" s="324"/>
      <c r="AH71" s="76">
        <f t="shared" ref="AH71:AH78" si="122">AB71</f>
        <v>0</v>
      </c>
      <c r="AI71" s="322"/>
      <c r="AJ71" s="323"/>
      <c r="AK71" s="339"/>
      <c r="AL71" s="324"/>
      <c r="AM71" s="324"/>
      <c r="AN71" s="76">
        <f t="shared" ref="AN71" si="123">AH71</f>
        <v>0</v>
      </c>
      <c r="AO71" s="217">
        <f t="shared" ref="AO71:AO79" si="124">SUM(P71:AN71)</f>
        <v>5000</v>
      </c>
    </row>
    <row r="72" spans="1:41" outlineLevel="1" x14ac:dyDescent="0.3">
      <c r="A72" s="1" t="s">
        <v>150</v>
      </c>
      <c r="B72" s="1"/>
      <c r="C72" s="1"/>
      <c r="D72" s="1"/>
      <c r="E72" s="1"/>
      <c r="F72" s="1"/>
      <c r="G72" s="1"/>
      <c r="H72" s="1"/>
      <c r="I72" s="1"/>
      <c r="J72" s="341"/>
      <c r="K72" s="322"/>
      <c r="L72" s="1"/>
      <c r="M72" s="1"/>
      <c r="P72" s="514">
        <v>800</v>
      </c>
      <c r="Q72" s="363"/>
      <c r="R72" s="364"/>
      <c r="S72" s="373"/>
      <c r="T72" s="365"/>
      <c r="U72" s="365"/>
      <c r="V72" s="76">
        <v>800</v>
      </c>
      <c r="X72" s="1"/>
      <c r="Y72" s="1"/>
      <c r="AB72" s="76">
        <v>775</v>
      </c>
      <c r="AD72" s="1"/>
      <c r="AE72" s="1"/>
      <c r="AH72" s="76">
        <v>500</v>
      </c>
      <c r="AI72" s="322"/>
      <c r="AJ72" s="323"/>
      <c r="AK72" s="339"/>
      <c r="AL72" s="324"/>
      <c r="AM72" s="324"/>
      <c r="AN72" s="76">
        <f>AH60</f>
        <v>0</v>
      </c>
      <c r="AO72" s="217">
        <f t="shared" si="124"/>
        <v>2875</v>
      </c>
    </row>
    <row r="73" spans="1:41" outlineLevel="1" x14ac:dyDescent="0.3">
      <c r="A73" s="340" t="s">
        <v>151</v>
      </c>
      <c r="B73" s="341"/>
      <c r="C73" s="341"/>
      <c r="D73" s="341"/>
      <c r="E73" s="341"/>
      <c r="F73" s="341"/>
      <c r="G73" s="341"/>
      <c r="H73" s="341"/>
      <c r="I73" s="341"/>
      <c r="J73" s="3" t="s">
        <v>152</v>
      </c>
      <c r="K73" s="322" t="s">
        <v>153</v>
      </c>
      <c r="L73" s="323"/>
      <c r="M73" s="339"/>
      <c r="N73" s="324"/>
      <c r="O73" s="324"/>
      <c r="P73" s="583">
        <f>2400*8</f>
        <v>19200</v>
      </c>
      <c r="Q73" s="363" t="s">
        <v>154</v>
      </c>
      <c r="R73" s="364"/>
      <c r="S73" s="373"/>
      <c r="T73" s="365"/>
      <c r="U73" s="365"/>
      <c r="V73" s="76">
        <v>396</v>
      </c>
      <c r="W73" s="537" t="s">
        <v>155</v>
      </c>
      <c r="X73" s="323"/>
      <c r="Y73" s="339"/>
      <c r="Z73" s="324"/>
      <c r="AA73" s="324"/>
      <c r="AB73" s="76">
        <f>120*0.55</f>
        <v>66</v>
      </c>
      <c r="AC73" s="322" t="s">
        <v>156</v>
      </c>
      <c r="AD73" s="323"/>
      <c r="AE73" s="339"/>
      <c r="AF73" s="324"/>
      <c r="AG73" s="324"/>
      <c r="AH73" s="76">
        <f>60*0.55</f>
        <v>33</v>
      </c>
      <c r="AI73" s="322"/>
      <c r="AJ73" s="323"/>
      <c r="AK73" s="339"/>
      <c r="AL73" s="324"/>
      <c r="AM73" s="324"/>
      <c r="AN73" s="76"/>
      <c r="AO73" s="217">
        <f t="shared" si="124"/>
        <v>19695</v>
      </c>
    </row>
    <row r="74" spans="1:41" outlineLevel="1" x14ac:dyDescent="0.3">
      <c r="A74" s="340" t="s">
        <v>157</v>
      </c>
      <c r="B74" s="341"/>
      <c r="C74" s="341"/>
      <c r="D74" s="341"/>
      <c r="E74" s="341"/>
      <c r="F74" s="341"/>
      <c r="G74" s="341"/>
      <c r="H74" s="341"/>
      <c r="I74" s="341" t="s">
        <v>158</v>
      </c>
      <c r="J74" s="3" t="s">
        <v>159</v>
      </c>
      <c r="K74" s="322" t="s">
        <v>160</v>
      </c>
      <c r="L74" s="323"/>
      <c r="M74" s="339"/>
      <c r="N74" s="324"/>
      <c r="O74" s="324"/>
      <c r="P74" s="514">
        <v>1000</v>
      </c>
      <c r="Q74" s="363"/>
      <c r="R74" s="364"/>
      <c r="S74" s="373"/>
      <c r="T74" s="365"/>
      <c r="U74" s="365"/>
      <c r="V74" s="76">
        <v>0</v>
      </c>
      <c r="W74" s="324"/>
      <c r="X74" s="323"/>
      <c r="Y74" s="339"/>
      <c r="Z74" s="324"/>
      <c r="AA74" s="324"/>
      <c r="AB74" s="76">
        <v>0</v>
      </c>
      <c r="AC74" s="322"/>
      <c r="AD74" s="323"/>
      <c r="AE74" s="339"/>
      <c r="AF74" s="324"/>
      <c r="AG74" s="324"/>
      <c r="AH74" s="76">
        <v>0</v>
      </c>
      <c r="AI74" s="322"/>
      <c r="AJ74" s="323"/>
      <c r="AK74" s="339"/>
      <c r="AL74" s="324"/>
      <c r="AM74" s="324"/>
      <c r="AN74" s="76"/>
      <c r="AO74" s="217">
        <f t="shared" si="124"/>
        <v>1000</v>
      </c>
    </row>
    <row r="75" spans="1:41" outlineLevel="1" x14ac:dyDescent="0.3">
      <c r="A75" s="340" t="s">
        <v>161</v>
      </c>
      <c r="B75" s="341" t="s">
        <v>162</v>
      </c>
      <c r="C75" s="341"/>
      <c r="D75" s="341"/>
      <c r="E75" s="341"/>
      <c r="F75" s="341"/>
      <c r="G75" s="341"/>
      <c r="H75" s="341"/>
      <c r="I75" s="341"/>
      <c r="J75" s="341"/>
      <c r="K75" s="322" t="s">
        <v>163</v>
      </c>
      <c r="L75" s="323"/>
      <c r="M75" s="339"/>
      <c r="N75" s="324"/>
      <c r="O75" s="324"/>
      <c r="P75" s="514">
        <f>13*150</f>
        <v>1950</v>
      </c>
      <c r="Q75" s="363" t="s">
        <v>164</v>
      </c>
      <c r="R75" s="364"/>
      <c r="S75" s="373"/>
      <c r="T75" s="365"/>
      <c r="U75" s="365"/>
      <c r="V75" s="76">
        <f>117*150</f>
        <v>17550</v>
      </c>
      <c r="W75" s="1" t="s">
        <v>165</v>
      </c>
      <c r="X75" s="1"/>
      <c r="Y75" s="1"/>
      <c r="AB75" s="76">
        <f>120*150</f>
        <v>18000</v>
      </c>
      <c r="AC75" s="322" t="s">
        <v>166</v>
      </c>
      <c r="AD75" s="323"/>
      <c r="AE75" s="339"/>
      <c r="AF75" s="324"/>
      <c r="AG75" s="324"/>
      <c r="AH75" s="76">
        <f>50*150</f>
        <v>7500</v>
      </c>
      <c r="AI75" s="322"/>
      <c r="AJ75" s="323"/>
      <c r="AK75" s="339"/>
      <c r="AL75" s="324"/>
      <c r="AM75" s="324"/>
      <c r="AN75" s="76"/>
      <c r="AO75" s="217">
        <f t="shared" si="124"/>
        <v>45000</v>
      </c>
    </row>
    <row r="76" spans="1:41" outlineLevel="1" x14ac:dyDescent="0.3">
      <c r="A76" s="340" t="s">
        <v>167</v>
      </c>
      <c r="B76" s="341"/>
      <c r="C76" s="341"/>
      <c r="D76" s="341"/>
      <c r="E76" s="341"/>
      <c r="F76" s="341"/>
      <c r="G76" s="341"/>
      <c r="H76" s="341"/>
      <c r="I76" s="341"/>
      <c r="J76" s="341"/>
      <c r="K76" s="322" t="s">
        <v>168</v>
      </c>
      <c r="L76" s="323"/>
      <c r="M76" s="339"/>
      <c r="N76" s="324"/>
      <c r="O76" s="324"/>
      <c r="P76" s="514">
        <f>1325*13</f>
        <v>17225</v>
      </c>
      <c r="Q76" s="363" t="s">
        <v>169</v>
      </c>
      <c r="R76" s="364" t="s">
        <v>170</v>
      </c>
      <c r="S76" s="373"/>
      <c r="T76" s="365"/>
      <c r="U76" s="365"/>
      <c r="V76" s="76">
        <f>(1275*37)+(117*50)</f>
        <v>53025</v>
      </c>
      <c r="W76" s="1" t="s">
        <v>171</v>
      </c>
      <c r="X76" s="1" t="s">
        <v>172</v>
      </c>
      <c r="Y76" s="1"/>
      <c r="AB76" s="76">
        <f>(1275*40)+(120*50)</f>
        <v>57000</v>
      </c>
      <c r="AC76" s="322" t="s">
        <v>173</v>
      </c>
      <c r="AD76" s="323"/>
      <c r="AE76" s="339"/>
      <c r="AF76" s="324"/>
      <c r="AG76" s="324"/>
      <c r="AH76" s="76">
        <f>50*50</f>
        <v>2500</v>
      </c>
      <c r="AI76" s="322"/>
      <c r="AJ76" s="323"/>
      <c r="AK76" s="339"/>
      <c r="AL76" s="324"/>
      <c r="AM76" s="324"/>
      <c r="AN76" s="76"/>
      <c r="AO76" s="217">
        <f t="shared" si="124"/>
        <v>129750</v>
      </c>
    </row>
    <row r="77" spans="1:41" outlineLevel="1" x14ac:dyDescent="0.3">
      <c r="A77" s="340" t="s">
        <v>174</v>
      </c>
      <c r="B77" s="341"/>
      <c r="C77" s="341"/>
      <c r="D77" s="341"/>
      <c r="E77" s="341"/>
      <c r="F77" s="341"/>
      <c r="G77" s="341"/>
      <c r="H77" s="341"/>
      <c r="I77" s="341"/>
      <c r="J77" s="341"/>
      <c r="K77" s="322" t="s">
        <v>175</v>
      </c>
      <c r="L77" s="323"/>
      <c r="M77" s="339"/>
      <c r="N77" s="324"/>
      <c r="O77" s="324"/>
      <c r="P77" s="514">
        <v>500</v>
      </c>
      <c r="Q77" s="363" t="s">
        <v>176</v>
      </c>
      <c r="R77" s="364"/>
      <c r="S77" s="373"/>
      <c r="T77" s="365"/>
      <c r="U77" s="365"/>
      <c r="V77" s="76">
        <f>500+1000</f>
        <v>1500</v>
      </c>
      <c r="W77" s="1" t="s">
        <v>176</v>
      </c>
      <c r="X77" s="323"/>
      <c r="Y77" s="339"/>
      <c r="Z77" s="324"/>
      <c r="AA77" s="324"/>
      <c r="AB77" s="76">
        <f>500+1000</f>
        <v>1500</v>
      </c>
      <c r="AC77" s="1" t="s">
        <v>176</v>
      </c>
      <c r="AD77" s="323"/>
      <c r="AE77" s="339"/>
      <c r="AF77" s="324"/>
      <c r="AG77" s="324"/>
      <c r="AH77" s="76">
        <f>1000+500</f>
        <v>1500</v>
      </c>
      <c r="AI77" s="322"/>
      <c r="AJ77" s="323"/>
      <c r="AK77" s="339"/>
      <c r="AL77" s="324"/>
      <c r="AM77" s="324"/>
      <c r="AN77" s="76"/>
      <c r="AO77" s="217">
        <f t="shared" si="124"/>
        <v>5000</v>
      </c>
    </row>
    <row r="78" spans="1:41" outlineLevel="1" x14ac:dyDescent="0.3">
      <c r="A78" s="510" t="s">
        <v>177</v>
      </c>
      <c r="B78" s="342"/>
      <c r="C78" s="342"/>
      <c r="D78" s="342"/>
      <c r="E78" s="342"/>
      <c r="F78" s="342"/>
      <c r="G78" s="342"/>
      <c r="H78" s="342"/>
      <c r="I78" s="342"/>
      <c r="J78" s="342"/>
      <c r="K78" s="322"/>
      <c r="L78" s="323"/>
      <c r="M78" s="339"/>
      <c r="N78" s="324"/>
      <c r="O78" s="324"/>
      <c r="P78" s="514">
        <v>4655</v>
      </c>
      <c r="Q78" s="363"/>
      <c r="R78" s="364"/>
      <c r="S78" s="373"/>
      <c r="T78" s="365"/>
      <c r="U78" s="365"/>
      <c r="V78" s="76">
        <v>0</v>
      </c>
      <c r="W78" s="324"/>
      <c r="X78" s="323"/>
      <c r="Y78" s="339"/>
      <c r="Z78" s="324"/>
      <c r="AA78" s="324"/>
      <c r="AB78" s="76">
        <v>0</v>
      </c>
      <c r="AC78" s="322"/>
      <c r="AD78" s="323"/>
      <c r="AE78" s="339"/>
      <c r="AF78" s="324"/>
      <c r="AG78" s="324"/>
      <c r="AH78" s="76">
        <f t="shared" si="122"/>
        <v>0</v>
      </c>
      <c r="AI78" s="322"/>
      <c r="AJ78" s="323"/>
      <c r="AK78" s="339"/>
      <c r="AL78" s="324"/>
      <c r="AM78" s="324"/>
      <c r="AN78" s="76"/>
      <c r="AO78" s="217">
        <f t="shared" si="124"/>
        <v>4655</v>
      </c>
    </row>
    <row r="79" spans="1:41" outlineLevel="1" x14ac:dyDescent="0.3">
      <c r="A79" s="511" t="s">
        <v>178</v>
      </c>
      <c r="B79" s="418"/>
      <c r="C79" s="418"/>
      <c r="D79" s="418"/>
      <c r="E79" s="418"/>
      <c r="F79" s="418"/>
      <c r="G79" s="418"/>
      <c r="H79" s="418"/>
      <c r="I79" s="418"/>
      <c r="J79" s="418"/>
      <c r="K79" s="357" t="s">
        <v>179</v>
      </c>
      <c r="L79" s="379"/>
      <c r="M79" s="512" t="s">
        <v>180</v>
      </c>
      <c r="N79" s="358"/>
      <c r="O79" s="358"/>
      <c r="P79" s="514">
        <f>9600+5500</f>
        <v>15100</v>
      </c>
      <c r="Q79" s="363"/>
      <c r="R79" s="364"/>
      <c r="S79" s="373"/>
      <c r="T79" s="365"/>
      <c r="U79" s="365"/>
      <c r="V79" s="76">
        <v>0</v>
      </c>
      <c r="W79" s="358"/>
      <c r="X79" s="379"/>
      <c r="Y79" s="380"/>
      <c r="Z79" s="358"/>
      <c r="AA79" s="358"/>
      <c r="AB79" s="76">
        <v>0</v>
      </c>
      <c r="AC79" s="357"/>
      <c r="AD79" s="379"/>
      <c r="AE79" s="380"/>
      <c r="AF79" s="358"/>
      <c r="AG79" s="358"/>
      <c r="AH79" s="76">
        <v>0</v>
      </c>
      <c r="AI79" s="357"/>
      <c r="AJ79" s="379"/>
      <c r="AK79" s="380"/>
      <c r="AL79" s="358"/>
      <c r="AM79" s="358"/>
      <c r="AN79" s="76"/>
      <c r="AO79" s="217">
        <f t="shared" si="124"/>
        <v>15100</v>
      </c>
    </row>
    <row r="80" spans="1:41" s="5" customFormat="1" ht="15" outlineLevel="1" thickBot="1" x14ac:dyDescent="0.35">
      <c r="A80" s="344" t="s">
        <v>181</v>
      </c>
      <c r="B80" s="345"/>
      <c r="C80" s="345"/>
      <c r="D80" s="345"/>
      <c r="E80" s="345"/>
      <c r="F80" s="345"/>
      <c r="G80" s="345"/>
      <c r="H80" s="345"/>
      <c r="I80" s="345"/>
      <c r="J80" s="345"/>
      <c r="K80" s="346"/>
      <c r="L80" s="347"/>
      <c r="M80" s="348"/>
      <c r="N80" s="349"/>
      <c r="O80" s="349"/>
      <c r="P80" s="349">
        <f>SUM(P70:P79)</f>
        <v>66630</v>
      </c>
      <c r="Q80" s="346"/>
      <c r="R80" s="347"/>
      <c r="S80" s="348"/>
      <c r="T80" s="349"/>
      <c r="U80" s="349"/>
      <c r="V80" s="350">
        <f>SUM(V70:V79)</f>
        <v>73271</v>
      </c>
      <c r="W80" s="349"/>
      <c r="X80" s="347"/>
      <c r="Y80" s="348"/>
      <c r="Z80" s="349"/>
      <c r="AA80" s="349"/>
      <c r="AB80" s="349">
        <f>SUM(AB70:AB79)</f>
        <v>77341</v>
      </c>
      <c r="AC80" s="346"/>
      <c r="AD80" s="347"/>
      <c r="AE80" s="348"/>
      <c r="AF80" s="349"/>
      <c r="AG80" s="349"/>
      <c r="AH80" s="349">
        <f>SUM(AH70:AH79)</f>
        <v>12033</v>
      </c>
      <c r="AI80" s="346"/>
      <c r="AJ80" s="347"/>
      <c r="AK80" s="348"/>
      <c r="AL80" s="349"/>
      <c r="AM80" s="349"/>
      <c r="AN80" s="350">
        <f>SUM(AN71:AN79)</f>
        <v>0</v>
      </c>
      <c r="AO80" s="216">
        <f>SUM(AO70:AO79)</f>
        <v>229275</v>
      </c>
    </row>
    <row r="81" spans="1:41" outlineLevel="1" x14ac:dyDescent="0.3">
      <c r="A81" s="409" t="s">
        <v>182</v>
      </c>
      <c r="B81" s="410"/>
      <c r="C81" s="410"/>
      <c r="D81" s="410"/>
      <c r="E81" s="410"/>
      <c r="F81" s="410"/>
      <c r="G81" s="410"/>
      <c r="H81" s="410"/>
      <c r="I81" s="410"/>
      <c r="J81" s="410"/>
      <c r="K81" s="363"/>
      <c r="L81" s="364"/>
      <c r="M81" s="373"/>
      <c r="N81" s="365"/>
      <c r="O81" s="365"/>
      <c r="P81" s="514">
        <v>0</v>
      </c>
      <c r="Q81" s="363"/>
      <c r="R81" s="364"/>
      <c r="S81" s="373"/>
      <c r="T81" s="365"/>
      <c r="U81" s="365"/>
      <c r="V81" s="76">
        <f>P81</f>
        <v>0</v>
      </c>
      <c r="W81" s="365"/>
      <c r="X81" s="364"/>
      <c r="Y81" s="373"/>
      <c r="Z81" s="365"/>
      <c r="AA81" s="365"/>
      <c r="AB81" s="76">
        <v>2212</v>
      </c>
      <c r="AC81" s="363"/>
      <c r="AD81" s="364"/>
      <c r="AE81" s="373"/>
      <c r="AF81" s="365"/>
      <c r="AG81" s="365"/>
      <c r="AH81" s="76">
        <v>0</v>
      </c>
      <c r="AI81" s="363"/>
      <c r="AJ81" s="364"/>
      <c r="AK81" s="373"/>
      <c r="AL81" s="365"/>
      <c r="AM81" s="365"/>
      <c r="AN81" s="76">
        <f>AH81</f>
        <v>0</v>
      </c>
      <c r="AO81" s="217">
        <f>AH81+AB81+V81+P81</f>
        <v>2212</v>
      </c>
    </row>
    <row r="82" spans="1:41" outlineLevel="1" x14ac:dyDescent="0.3">
      <c r="A82" s="340" t="s">
        <v>183</v>
      </c>
      <c r="B82" s="341"/>
      <c r="C82" s="341"/>
      <c r="D82" s="341"/>
      <c r="E82" s="341"/>
      <c r="F82" s="341"/>
      <c r="G82" s="341"/>
      <c r="H82" s="341"/>
      <c r="I82" s="341"/>
      <c r="J82" s="341"/>
      <c r="K82" s="322"/>
      <c r="L82" s="323"/>
      <c r="M82" s="339"/>
      <c r="N82" s="324"/>
      <c r="O82" s="324"/>
      <c r="P82" s="514">
        <v>10000</v>
      </c>
      <c r="Q82" s="363"/>
      <c r="R82" s="323"/>
      <c r="S82" s="339"/>
      <c r="T82" s="324"/>
      <c r="U82" s="324"/>
      <c r="V82" s="76">
        <v>10000</v>
      </c>
      <c r="W82" s="365"/>
      <c r="X82" s="364"/>
      <c r="Y82" s="373"/>
      <c r="Z82" s="365"/>
      <c r="AA82" s="365"/>
      <c r="AB82" s="76">
        <v>10000</v>
      </c>
      <c r="AC82" s="363"/>
      <c r="AD82" s="364"/>
      <c r="AE82" s="373"/>
      <c r="AF82" s="365"/>
      <c r="AG82" s="365"/>
      <c r="AH82" s="76">
        <v>10000</v>
      </c>
      <c r="AI82" s="322"/>
      <c r="AJ82" s="323"/>
      <c r="AK82" s="339"/>
      <c r="AL82" s="324"/>
      <c r="AM82" s="324"/>
      <c r="AN82" s="76">
        <v>0</v>
      </c>
      <c r="AO82" s="217">
        <f t="shared" ref="AO82:AO83" si="125">AH82+AB82+V82+P82</f>
        <v>40000</v>
      </c>
    </row>
    <row r="83" spans="1:41" outlineLevel="1" x14ac:dyDescent="0.3">
      <c r="A83" s="340" t="s">
        <v>184</v>
      </c>
      <c r="B83" s="341"/>
      <c r="C83" s="341"/>
      <c r="D83" s="341"/>
      <c r="E83" s="341"/>
      <c r="F83" s="341"/>
      <c r="G83" s="341"/>
      <c r="H83" s="341"/>
      <c r="I83" s="341"/>
      <c r="J83" s="341"/>
      <c r="K83" s="322" t="s">
        <v>185</v>
      </c>
      <c r="L83" s="323"/>
      <c r="M83" s="339"/>
      <c r="N83" s="324"/>
      <c r="O83" s="324"/>
      <c r="P83" s="514">
        <v>3000</v>
      </c>
      <c r="Q83" s="322"/>
      <c r="R83" s="323"/>
      <c r="S83" s="339"/>
      <c r="T83" s="324"/>
      <c r="U83" s="324"/>
      <c r="V83" s="76">
        <v>0</v>
      </c>
      <c r="W83" s="324"/>
      <c r="X83" s="323"/>
      <c r="Y83" s="339"/>
      <c r="Z83" s="324"/>
      <c r="AA83" s="324"/>
      <c r="AB83" s="76">
        <f>V83</f>
        <v>0</v>
      </c>
      <c r="AC83" s="322"/>
      <c r="AD83" s="323"/>
      <c r="AE83" s="339"/>
      <c r="AF83" s="324"/>
      <c r="AG83" s="324"/>
      <c r="AH83" s="76">
        <f>AB83</f>
        <v>0</v>
      </c>
      <c r="AI83" s="322"/>
      <c r="AJ83" s="323"/>
      <c r="AK83" s="339"/>
      <c r="AL83" s="324"/>
      <c r="AM83" s="324"/>
      <c r="AN83" s="76">
        <f>AH83</f>
        <v>0</v>
      </c>
      <c r="AO83" s="217">
        <f t="shared" si="125"/>
        <v>3000</v>
      </c>
    </row>
    <row r="84" spans="1:41" s="5" customFormat="1" ht="15" outlineLevel="1" thickBot="1" x14ac:dyDescent="0.35">
      <c r="A84" s="344" t="s">
        <v>186</v>
      </c>
      <c r="B84" s="345"/>
      <c r="C84" s="345"/>
      <c r="D84" s="345"/>
      <c r="E84" s="345"/>
      <c r="F84" s="345"/>
      <c r="G84" s="345"/>
      <c r="H84" s="345"/>
      <c r="I84" s="345"/>
      <c r="J84" s="345"/>
      <c r="K84" s="346"/>
      <c r="L84" s="347"/>
      <c r="M84" s="348"/>
      <c r="N84" s="349"/>
      <c r="O84" s="349"/>
      <c r="P84" s="349">
        <f>SUM(P81:P83)</f>
        <v>13000</v>
      </c>
      <c r="Q84" s="346"/>
      <c r="R84" s="347"/>
      <c r="S84" s="348"/>
      <c r="T84" s="349"/>
      <c r="U84" s="349"/>
      <c r="V84" s="350">
        <f>SUM(V81:V83)</f>
        <v>10000</v>
      </c>
      <c r="W84" s="349"/>
      <c r="X84" s="347"/>
      <c r="Y84" s="348"/>
      <c r="Z84" s="349"/>
      <c r="AA84" s="349"/>
      <c r="AB84" s="349">
        <f>SUM(AB81:AB83)</f>
        <v>12212</v>
      </c>
      <c r="AC84" s="346"/>
      <c r="AD84" s="347"/>
      <c r="AE84" s="348"/>
      <c r="AF84" s="349"/>
      <c r="AG84" s="349"/>
      <c r="AH84" s="349">
        <f>SUM(AH81:AH83)</f>
        <v>10000</v>
      </c>
      <c r="AI84" s="346"/>
      <c r="AJ84" s="347"/>
      <c r="AK84" s="348"/>
      <c r="AL84" s="349"/>
      <c r="AM84" s="349"/>
      <c r="AN84" s="350"/>
      <c r="AO84" s="216">
        <f>SUM(AO81:AO83)</f>
        <v>45212</v>
      </c>
    </row>
    <row r="85" spans="1:41" outlineLevel="1" x14ac:dyDescent="0.3">
      <c r="A85" s="494" t="s">
        <v>187</v>
      </c>
      <c r="B85" s="495"/>
      <c r="C85" s="495"/>
      <c r="D85" s="495"/>
      <c r="E85" s="495"/>
      <c r="F85" s="495"/>
      <c r="G85" s="341"/>
      <c r="H85" s="341"/>
      <c r="I85" s="341"/>
      <c r="J85" s="341"/>
      <c r="K85" s="322"/>
      <c r="L85" s="323"/>
      <c r="M85" s="339"/>
      <c r="N85" s="324"/>
      <c r="O85" s="324"/>
      <c r="P85" s="2"/>
      <c r="Q85" s="322"/>
      <c r="R85" s="323"/>
      <c r="S85" s="339"/>
      <c r="T85" s="324"/>
      <c r="U85" s="324"/>
      <c r="V85" s="76"/>
      <c r="W85" s="324"/>
      <c r="X85" s="323"/>
      <c r="Y85" s="339"/>
      <c r="Z85" s="324"/>
      <c r="AA85" s="324"/>
      <c r="AB85" s="2"/>
      <c r="AC85" s="322"/>
      <c r="AD85" s="323"/>
      <c r="AE85" s="339"/>
      <c r="AF85" s="324"/>
      <c r="AG85" s="324"/>
      <c r="AH85" s="2"/>
      <c r="AI85" s="322"/>
      <c r="AJ85" s="323"/>
      <c r="AK85" s="339"/>
      <c r="AL85" s="324"/>
      <c r="AM85" s="324"/>
      <c r="AN85" s="3"/>
      <c r="AO85" s="222"/>
    </row>
    <row r="86" spans="1:41" outlineLevel="1" x14ac:dyDescent="0.3">
      <c r="A86" s="494" t="s">
        <v>188</v>
      </c>
      <c r="B86" s="495"/>
      <c r="C86" s="495"/>
      <c r="D86" s="495"/>
      <c r="E86" s="495"/>
      <c r="F86" s="495"/>
      <c r="G86" s="341"/>
      <c r="H86" s="341"/>
      <c r="I86" s="341"/>
      <c r="J86" s="341"/>
      <c r="K86" s="322"/>
      <c r="L86" s="323"/>
      <c r="M86" s="339"/>
      <c r="N86" s="324"/>
      <c r="O86" s="324"/>
      <c r="P86" s="514">
        <f>SUM(HJF!K84,Penn!K81,'Pitt Foundation'!K81)</f>
        <v>39252.267999999996</v>
      </c>
      <c r="Q86" s="322"/>
      <c r="R86" s="323"/>
      <c r="S86" s="339"/>
      <c r="T86" s="324"/>
      <c r="U86" s="324"/>
      <c r="V86" s="76">
        <f>SUM(HJF!Q84,Penn!Q81,'Pitt Foundation'!Q81)</f>
        <v>62372.793400000002</v>
      </c>
      <c r="W86" s="324"/>
      <c r="X86" s="323"/>
      <c r="Y86" s="339"/>
      <c r="Z86" s="324"/>
      <c r="AA86" s="324"/>
      <c r="AB86" s="76">
        <f>HJF!W84+'Pitt Foundation'!W81</f>
        <v>266820.729268</v>
      </c>
      <c r="AC86" s="322"/>
      <c r="AD86" s="323"/>
      <c r="AE86" s="339"/>
      <c r="AF86" s="324"/>
      <c r="AG86" s="324"/>
      <c r="AH86" s="76">
        <f>SUM(HJF!AC84,Penn!AC81,'Pitt Foundation'!AC81)</f>
        <v>234622.62385336001</v>
      </c>
      <c r="AI86" s="322"/>
      <c r="AJ86" s="323"/>
      <c r="AK86" s="339"/>
      <c r="AL86" s="324"/>
      <c r="AM86" s="324"/>
      <c r="AN86" s="76">
        <f>SUM(HJF!AI84,Penn!AI81,'Pitt Foundation'!AI81)</f>
        <v>0</v>
      </c>
      <c r="AO86" s="217">
        <f>SUM(P86:AN86)</f>
        <v>603068.41452136007</v>
      </c>
    </row>
    <row r="87" spans="1:41" outlineLevel="1" x14ac:dyDescent="0.3">
      <c r="A87" s="496" t="s">
        <v>189</v>
      </c>
      <c r="B87" s="497"/>
      <c r="C87" s="497"/>
      <c r="D87" s="497"/>
      <c r="E87" s="497"/>
      <c r="F87" s="497"/>
      <c r="G87" s="378"/>
      <c r="H87" s="378"/>
      <c r="I87" s="378"/>
      <c r="J87" s="378"/>
      <c r="K87" s="357"/>
      <c r="L87" s="379"/>
      <c r="M87" s="380"/>
      <c r="N87" s="358"/>
      <c r="O87" s="358"/>
      <c r="P87" s="514">
        <f>SUM(HJF!K88,Penn!K83,'Pitt Foundation'!K83)</f>
        <v>10142.937000000002</v>
      </c>
      <c r="Q87" s="322"/>
      <c r="R87" s="323"/>
      <c r="S87" s="339"/>
      <c r="T87" s="324"/>
      <c r="U87" s="324"/>
      <c r="V87" s="76">
        <f>SUM(HJF!Q88,Penn!Q83,'Pitt Foundation'!Q83)</f>
        <v>17779.01194</v>
      </c>
      <c r="W87" s="358"/>
      <c r="X87" s="379"/>
      <c r="Y87" s="380"/>
      <c r="Z87" s="358"/>
      <c r="AA87" s="358"/>
      <c r="AB87" s="76">
        <f>HJF!W88+'Pitt Foundation'!W83</f>
        <v>58691.780318800003</v>
      </c>
      <c r="AC87" s="357"/>
      <c r="AD87" s="379"/>
      <c r="AE87" s="380"/>
      <c r="AF87" s="358"/>
      <c r="AG87" s="358"/>
      <c r="AH87" s="76">
        <f>SUM(HJF!AC88,Penn!AC83,'Pitt Foundation'!AC83)</f>
        <v>54880.018425176007</v>
      </c>
      <c r="AI87" s="357"/>
      <c r="AJ87" s="379"/>
      <c r="AK87" s="380"/>
      <c r="AL87" s="358"/>
      <c r="AM87" s="358"/>
      <c r="AN87" s="76">
        <f>SUM(HJF!AI87,Penn!AI83,'Pitt Foundation'!AI83)</f>
        <v>0</v>
      </c>
      <c r="AO87" s="217">
        <f>SUM(P87:AN87)</f>
        <v>141493.74768397602</v>
      </c>
    </row>
    <row r="88" spans="1:41" ht="15" outlineLevel="1" thickBot="1" x14ac:dyDescent="0.35">
      <c r="A88" s="494" t="s">
        <v>190</v>
      </c>
      <c r="B88" s="495"/>
      <c r="C88" s="495"/>
      <c r="D88" s="495"/>
      <c r="E88" s="495"/>
      <c r="F88" s="495"/>
      <c r="G88" s="352"/>
      <c r="H88" s="352"/>
      <c r="I88" s="352"/>
      <c r="J88" s="352"/>
      <c r="K88" s="346"/>
      <c r="L88" s="347"/>
      <c r="M88" s="348"/>
      <c r="N88" s="349"/>
      <c r="O88" s="349"/>
      <c r="P88" s="349">
        <f>SUM(P86:P87)</f>
        <v>49395.205000000002</v>
      </c>
      <c r="Q88" s="346"/>
      <c r="R88" s="347"/>
      <c r="S88" s="348"/>
      <c r="T88" s="349"/>
      <c r="U88" s="349"/>
      <c r="V88" s="350">
        <f>SUM(V86:V87)</f>
        <v>80151.805340000006</v>
      </c>
      <c r="W88" s="349"/>
      <c r="X88" s="347"/>
      <c r="Y88" s="348"/>
      <c r="Z88" s="349"/>
      <c r="AA88" s="349"/>
      <c r="AB88" s="349">
        <f>SUM(AB86:AB87)</f>
        <v>325512.50958680001</v>
      </c>
      <c r="AC88" s="346"/>
      <c r="AD88" s="347"/>
      <c r="AE88" s="348"/>
      <c r="AF88" s="349"/>
      <c r="AG88" s="349"/>
      <c r="AH88" s="349">
        <f>SUM(AH86:AH87)</f>
        <v>289502.64227853599</v>
      </c>
      <c r="AI88" s="346"/>
      <c r="AJ88" s="347"/>
      <c r="AK88" s="348"/>
      <c r="AL88" s="349"/>
      <c r="AM88" s="349"/>
      <c r="AN88" s="350">
        <f>SUM(AN86:AN87)</f>
        <v>0</v>
      </c>
      <c r="AO88" s="425">
        <f>SUM(AO86:AO87)</f>
        <v>744562.16220533615</v>
      </c>
    </row>
    <row r="89" spans="1:41" hidden="1" outlineLevel="1" x14ac:dyDescent="0.3">
      <c r="A89" s="409" t="s">
        <v>191</v>
      </c>
      <c r="B89" s="410"/>
      <c r="C89" s="410"/>
      <c r="D89" s="410"/>
      <c r="E89" s="410"/>
      <c r="F89" s="410"/>
      <c r="G89" s="410"/>
      <c r="H89" s="410"/>
      <c r="I89" s="410"/>
      <c r="J89" s="410"/>
      <c r="K89" s="363"/>
      <c r="L89" s="364"/>
      <c r="M89" s="373"/>
      <c r="N89" s="365"/>
      <c r="O89" s="365"/>
      <c r="P89" s="514">
        <v>0</v>
      </c>
      <c r="Q89" s="363"/>
      <c r="R89" s="364"/>
      <c r="S89" s="373"/>
      <c r="T89" s="365"/>
      <c r="U89" s="365"/>
      <c r="V89" s="76">
        <f t="shared" ref="V89:V90" si="126">P89</f>
        <v>0</v>
      </c>
      <c r="W89" s="365"/>
      <c r="X89" s="364"/>
      <c r="Y89" s="373"/>
      <c r="Z89" s="365"/>
      <c r="AA89" s="365"/>
      <c r="AB89" s="76">
        <f t="shared" ref="AB89:AB90" si="127">V89</f>
        <v>0</v>
      </c>
      <c r="AC89" s="363"/>
      <c r="AD89" s="364"/>
      <c r="AE89" s="373"/>
      <c r="AF89" s="365"/>
      <c r="AG89" s="365"/>
      <c r="AH89" s="76">
        <f t="shared" ref="AH89:AH90" si="128">AB89</f>
        <v>0</v>
      </c>
      <c r="AI89" s="363"/>
      <c r="AJ89" s="364"/>
      <c r="AK89" s="373"/>
      <c r="AL89" s="365"/>
      <c r="AM89" s="365"/>
      <c r="AN89" s="76">
        <f t="shared" ref="AN89:AN90" si="129">AH89</f>
        <v>0</v>
      </c>
      <c r="AO89" s="419">
        <f>SUM(P89:AN89)</f>
        <v>0</v>
      </c>
    </row>
    <row r="90" spans="1:41" ht="15" hidden="1" outlineLevel="1" thickBot="1" x14ac:dyDescent="0.35">
      <c r="A90" s="340" t="s">
        <v>192</v>
      </c>
      <c r="B90" s="341"/>
      <c r="C90" s="341"/>
      <c r="D90" s="341"/>
      <c r="E90" s="341"/>
      <c r="F90" s="341"/>
      <c r="G90" s="341"/>
      <c r="H90" s="341"/>
      <c r="I90" s="341"/>
      <c r="J90" s="341"/>
      <c r="K90" s="322"/>
      <c r="L90" s="323"/>
      <c r="M90" s="339"/>
      <c r="N90" s="324"/>
      <c r="O90" s="324"/>
      <c r="P90" s="514">
        <v>0</v>
      </c>
      <c r="Q90" s="322"/>
      <c r="R90" s="323"/>
      <c r="S90" s="339"/>
      <c r="T90" s="324"/>
      <c r="U90" s="324"/>
      <c r="V90" s="76">
        <f t="shared" si="126"/>
        <v>0</v>
      </c>
      <c r="W90" s="324"/>
      <c r="X90" s="323"/>
      <c r="Y90" s="339"/>
      <c r="Z90" s="324"/>
      <c r="AA90" s="324"/>
      <c r="AB90" s="76">
        <f t="shared" si="127"/>
        <v>0</v>
      </c>
      <c r="AC90" s="322"/>
      <c r="AD90" s="323"/>
      <c r="AE90" s="339"/>
      <c r="AF90" s="324"/>
      <c r="AG90" s="324"/>
      <c r="AH90" s="76">
        <f t="shared" si="128"/>
        <v>0</v>
      </c>
      <c r="AI90" s="322"/>
      <c r="AJ90" s="323"/>
      <c r="AK90" s="339"/>
      <c r="AL90" s="324"/>
      <c r="AM90" s="324"/>
      <c r="AN90" s="76">
        <f t="shared" si="129"/>
        <v>0</v>
      </c>
      <c r="AO90" s="419">
        <f>SUM(P90:AN90)</f>
        <v>0</v>
      </c>
    </row>
    <row r="91" spans="1:41" hidden="1" outlineLevel="1" x14ac:dyDescent="0.3">
      <c r="A91" s="340" t="s">
        <v>193</v>
      </c>
      <c r="B91" s="341"/>
      <c r="C91" s="341"/>
      <c r="D91" s="341"/>
      <c r="E91" s="341"/>
      <c r="F91" s="341"/>
      <c r="G91" s="341"/>
      <c r="H91" s="341"/>
      <c r="I91" s="341"/>
      <c r="J91" s="341"/>
      <c r="K91" s="322"/>
      <c r="L91" s="323"/>
      <c r="M91" s="339"/>
      <c r="N91" s="324"/>
      <c r="O91" s="324"/>
      <c r="P91" s="2"/>
      <c r="Q91" s="322"/>
      <c r="R91" s="323"/>
      <c r="S91" s="339"/>
      <c r="T91" s="324"/>
      <c r="U91" s="324"/>
      <c r="V91" s="76"/>
      <c r="W91" s="324"/>
      <c r="X91" s="323"/>
      <c r="Y91" s="339"/>
      <c r="Z91" s="324"/>
      <c r="AA91" s="324"/>
      <c r="AB91" s="2"/>
      <c r="AC91" s="322"/>
      <c r="AD91" s="323"/>
      <c r="AE91" s="339"/>
      <c r="AF91" s="324"/>
      <c r="AG91" s="324"/>
      <c r="AH91" s="2"/>
      <c r="AI91" s="322"/>
      <c r="AJ91" s="323"/>
      <c r="AK91" s="339"/>
      <c r="AL91" s="324"/>
      <c r="AM91" s="324"/>
      <c r="AN91" s="3"/>
      <c r="AO91" s="222"/>
    </row>
    <row r="92" spans="1:41" hidden="1" outlineLevel="1" x14ac:dyDescent="0.3">
      <c r="A92" s="340" t="s">
        <v>194</v>
      </c>
      <c r="B92" s="341"/>
      <c r="C92" s="341"/>
      <c r="D92" s="341"/>
      <c r="E92" s="341"/>
      <c r="F92" s="341"/>
      <c r="G92" s="341"/>
      <c r="H92" s="341"/>
      <c r="I92" s="341"/>
      <c r="J92" s="341"/>
      <c r="K92" s="322"/>
      <c r="L92" s="323"/>
      <c r="M92" s="339"/>
      <c r="N92" s="324"/>
      <c r="O92" s="324"/>
      <c r="P92" s="514">
        <v>0</v>
      </c>
      <c r="Q92" s="322"/>
      <c r="R92" s="323"/>
      <c r="S92" s="339"/>
      <c r="T92" s="324"/>
      <c r="U92" s="324"/>
      <c r="V92" s="76">
        <f t="shared" ref="V92:V93" si="130">P92</f>
        <v>0</v>
      </c>
      <c r="W92" s="324"/>
      <c r="X92" s="323"/>
      <c r="Y92" s="339"/>
      <c r="Z92" s="324"/>
      <c r="AA92" s="324"/>
      <c r="AB92" s="76">
        <f t="shared" ref="AB92:AB93" si="131">V92</f>
        <v>0</v>
      </c>
      <c r="AC92" s="322"/>
      <c r="AD92" s="323"/>
      <c r="AE92" s="339"/>
      <c r="AF92" s="324"/>
      <c r="AG92" s="324"/>
      <c r="AH92" s="76">
        <f t="shared" ref="AH92:AH93" si="132">AB92</f>
        <v>0</v>
      </c>
      <c r="AI92" s="322"/>
      <c r="AJ92" s="323"/>
      <c r="AK92" s="339"/>
      <c r="AL92" s="324"/>
      <c r="AM92" s="324"/>
      <c r="AN92" s="76">
        <f t="shared" ref="AN92:AN93" si="133">AH92</f>
        <v>0</v>
      </c>
      <c r="AO92" s="217">
        <f>SUM(P92:AN92)</f>
        <v>0</v>
      </c>
    </row>
    <row r="93" spans="1:41" hidden="1" outlineLevel="1" x14ac:dyDescent="0.3">
      <c r="A93" s="340" t="s">
        <v>195</v>
      </c>
      <c r="B93" s="341"/>
      <c r="C93" s="341"/>
      <c r="D93" s="341"/>
      <c r="E93" s="341"/>
      <c r="F93" s="341"/>
      <c r="G93" s="341"/>
      <c r="H93" s="341"/>
      <c r="I93" s="341"/>
      <c r="J93" s="341"/>
      <c r="K93" s="357"/>
      <c r="L93" s="379"/>
      <c r="M93" s="380"/>
      <c r="N93" s="358"/>
      <c r="O93" s="358"/>
      <c r="P93" s="514">
        <v>0</v>
      </c>
      <c r="Q93" s="322"/>
      <c r="R93" s="323"/>
      <c r="S93" s="339"/>
      <c r="T93" s="324"/>
      <c r="U93" s="324"/>
      <c r="V93" s="76">
        <f t="shared" si="130"/>
        <v>0</v>
      </c>
      <c r="W93" s="358"/>
      <c r="X93" s="379"/>
      <c r="Y93" s="380"/>
      <c r="Z93" s="358"/>
      <c r="AA93" s="358"/>
      <c r="AB93" s="76">
        <f t="shared" si="131"/>
        <v>0</v>
      </c>
      <c r="AC93" s="357"/>
      <c r="AD93" s="379"/>
      <c r="AE93" s="380"/>
      <c r="AF93" s="358"/>
      <c r="AG93" s="358"/>
      <c r="AH93" s="76">
        <f t="shared" si="132"/>
        <v>0</v>
      </c>
      <c r="AI93" s="357"/>
      <c r="AJ93" s="379"/>
      <c r="AK93" s="380"/>
      <c r="AL93" s="358"/>
      <c r="AM93" s="358"/>
      <c r="AN93" s="76">
        <f t="shared" si="133"/>
        <v>0</v>
      </c>
      <c r="AO93" s="217">
        <f>SUM(P93:AN93)</f>
        <v>0</v>
      </c>
    </row>
    <row r="94" spans="1:41" hidden="1" outlineLevel="1" x14ac:dyDescent="0.3">
      <c r="A94" s="344" t="s">
        <v>196</v>
      </c>
      <c r="B94" s="345"/>
      <c r="C94" s="345"/>
      <c r="D94" s="345"/>
      <c r="E94" s="345"/>
      <c r="F94" s="345"/>
      <c r="G94" s="345"/>
      <c r="H94" s="345"/>
      <c r="I94" s="345"/>
      <c r="J94" s="345"/>
      <c r="K94" s="346"/>
      <c r="L94" s="347"/>
      <c r="M94" s="348"/>
      <c r="N94" s="349"/>
      <c r="O94" s="349"/>
      <c r="P94" s="349">
        <f>SUM(P92:P93)</f>
        <v>0</v>
      </c>
      <c r="Q94" s="346"/>
      <c r="R94" s="347"/>
      <c r="S94" s="348"/>
      <c r="T94" s="349"/>
      <c r="U94" s="349"/>
      <c r="V94" s="350">
        <f>SUM(V92:V93)</f>
        <v>0</v>
      </c>
      <c r="W94" s="349"/>
      <c r="X94" s="347"/>
      <c r="Y94" s="348"/>
      <c r="Z94" s="349"/>
      <c r="AA94" s="349"/>
      <c r="AB94" s="349">
        <f>SUM(AB92:AB93)</f>
        <v>0</v>
      </c>
      <c r="AC94" s="346"/>
      <c r="AD94" s="347"/>
      <c r="AE94" s="348"/>
      <c r="AF94" s="349"/>
      <c r="AG94" s="349"/>
      <c r="AH94" s="349">
        <f>SUM(AH92:AH93)</f>
        <v>0</v>
      </c>
      <c r="AI94" s="346"/>
      <c r="AJ94" s="347"/>
      <c r="AK94" s="348"/>
      <c r="AL94" s="349"/>
      <c r="AM94" s="349"/>
      <c r="AN94" s="350">
        <f>SUM(AN92:AN93)</f>
        <v>0</v>
      </c>
      <c r="AO94" s="425">
        <f>SUM(AO92:AO93)</f>
        <v>0</v>
      </c>
    </row>
    <row r="95" spans="1:41" hidden="1" outlineLevel="1" x14ac:dyDescent="0.3">
      <c r="A95" s="340" t="s">
        <v>197</v>
      </c>
      <c r="B95" s="341"/>
      <c r="C95" s="341"/>
      <c r="D95" s="341"/>
      <c r="E95" s="341"/>
      <c r="F95" s="341"/>
      <c r="G95" s="341"/>
      <c r="H95" s="341"/>
      <c r="I95" s="341"/>
      <c r="J95" s="341"/>
      <c r="K95" s="363"/>
      <c r="L95" s="364"/>
      <c r="M95" s="373"/>
      <c r="N95" s="365"/>
      <c r="O95" s="365"/>
      <c r="P95" s="535">
        <v>0</v>
      </c>
      <c r="Q95" s="363"/>
      <c r="R95" s="364"/>
      <c r="S95" s="373"/>
      <c r="T95" s="365"/>
      <c r="U95" s="365"/>
      <c r="V95" s="91">
        <f t="shared" ref="V95:V97" si="134">P95</f>
        <v>0</v>
      </c>
      <c r="W95" s="365"/>
      <c r="X95" s="364"/>
      <c r="Y95" s="373"/>
      <c r="Z95" s="365"/>
      <c r="AA95" s="365"/>
      <c r="AB95" s="91">
        <v>0</v>
      </c>
      <c r="AC95" s="363"/>
      <c r="AD95" s="364"/>
      <c r="AE95" s="373"/>
      <c r="AF95" s="365"/>
      <c r="AG95" s="365"/>
      <c r="AH95" s="91">
        <f t="shared" ref="AH95:AH97" si="135">AB95</f>
        <v>0</v>
      </c>
      <c r="AI95" s="363"/>
      <c r="AJ95" s="364"/>
      <c r="AK95" s="373"/>
      <c r="AL95" s="365"/>
      <c r="AM95" s="365"/>
      <c r="AN95" s="91">
        <f t="shared" ref="AN95:AN97" si="136">AH95</f>
        <v>0</v>
      </c>
      <c r="AO95" s="419">
        <f>SUM(P95:AN95)</f>
        <v>0</v>
      </c>
    </row>
    <row r="96" spans="1:41" hidden="1" outlineLevel="1" x14ac:dyDescent="0.3">
      <c r="A96" s="340" t="s">
        <v>198</v>
      </c>
      <c r="B96" s="341"/>
      <c r="C96" s="341"/>
      <c r="D96" s="341"/>
      <c r="E96" s="341"/>
      <c r="F96" s="341"/>
      <c r="G96" s="341"/>
      <c r="H96" s="341"/>
      <c r="I96" s="341"/>
      <c r="J96" s="341"/>
      <c r="K96" s="322"/>
      <c r="L96" s="323"/>
      <c r="M96" s="339"/>
      <c r="N96" s="324"/>
      <c r="O96" s="324"/>
      <c r="P96" s="535">
        <v>0</v>
      </c>
      <c r="Q96" s="322"/>
      <c r="R96" s="323"/>
      <c r="S96" s="339"/>
      <c r="T96" s="324"/>
      <c r="U96" s="324"/>
      <c r="V96" s="91">
        <f t="shared" ref="V96" si="137">P96</f>
        <v>0</v>
      </c>
      <c r="W96" s="324"/>
      <c r="X96" s="323"/>
      <c r="Y96" s="339"/>
      <c r="Z96" s="324"/>
      <c r="AA96" s="324"/>
      <c r="AB96" s="91">
        <f t="shared" ref="AB96" si="138">V96</f>
        <v>0</v>
      </c>
      <c r="AC96" s="322"/>
      <c r="AD96" s="323"/>
      <c r="AE96" s="339"/>
      <c r="AF96" s="324"/>
      <c r="AG96" s="324"/>
      <c r="AH96" s="91">
        <f t="shared" ref="AH96" si="139">AB96</f>
        <v>0</v>
      </c>
      <c r="AI96" s="322"/>
      <c r="AJ96" s="323"/>
      <c r="AK96" s="339"/>
      <c r="AL96" s="324"/>
      <c r="AM96" s="324"/>
      <c r="AN96" s="91">
        <f t="shared" ref="AN96" si="140">AH96</f>
        <v>0</v>
      </c>
      <c r="AO96" s="419">
        <f>SUM(P96:AN96)</f>
        <v>0</v>
      </c>
    </row>
    <row r="97" spans="1:42" ht="15" hidden="1" outlineLevel="1" thickBot="1" x14ac:dyDescent="0.35">
      <c r="A97" s="377" t="s">
        <v>199</v>
      </c>
      <c r="B97" s="378"/>
      <c r="C97" s="378"/>
      <c r="D97" s="378"/>
      <c r="E97" s="378"/>
      <c r="F97" s="378"/>
      <c r="G97" s="378"/>
      <c r="H97" s="378"/>
      <c r="I97" s="378"/>
      <c r="J97" s="378"/>
      <c r="K97" s="357"/>
      <c r="L97" s="379"/>
      <c r="M97" s="380"/>
      <c r="N97" s="358"/>
      <c r="O97" s="358"/>
      <c r="P97" s="535">
        <v>0</v>
      </c>
      <c r="Q97" s="357"/>
      <c r="R97" s="379"/>
      <c r="S97" s="380"/>
      <c r="T97" s="358"/>
      <c r="U97" s="358"/>
      <c r="V97" s="91">
        <f t="shared" si="134"/>
        <v>0</v>
      </c>
      <c r="W97" s="358"/>
      <c r="X97" s="379"/>
      <c r="Y97" s="380"/>
      <c r="Z97" s="358"/>
      <c r="AA97" s="358"/>
      <c r="AB97" s="91">
        <f t="shared" ref="AB97" si="141">V97</f>
        <v>0</v>
      </c>
      <c r="AC97" s="357"/>
      <c r="AD97" s="379"/>
      <c r="AE97" s="380"/>
      <c r="AF97" s="358"/>
      <c r="AG97" s="358"/>
      <c r="AH97" s="91">
        <f t="shared" si="135"/>
        <v>0</v>
      </c>
      <c r="AI97" s="357"/>
      <c r="AJ97" s="379"/>
      <c r="AK97" s="380"/>
      <c r="AL97" s="358"/>
      <c r="AM97" s="358"/>
      <c r="AN97" s="91">
        <f t="shared" si="136"/>
        <v>0</v>
      </c>
      <c r="AO97" s="419">
        <f>SUM(P97:AN97)</f>
        <v>0</v>
      </c>
    </row>
    <row r="98" spans="1:42" ht="15" thickBot="1" x14ac:dyDescent="0.35">
      <c r="A98" s="560" t="s">
        <v>200</v>
      </c>
      <c r="B98" s="561"/>
      <c r="C98" s="561"/>
      <c r="D98" s="561"/>
      <c r="E98" s="561"/>
      <c r="F98" s="561"/>
      <c r="G98" s="561"/>
      <c r="H98" s="561"/>
      <c r="I98" s="561"/>
      <c r="J98" s="561"/>
      <c r="K98" s="669">
        <f>P80+P84+P88</f>
        <v>129025.205</v>
      </c>
      <c r="L98" s="670"/>
      <c r="M98" s="670"/>
      <c r="N98" s="670"/>
      <c r="O98" s="670"/>
      <c r="P98" s="670"/>
      <c r="Q98" s="669">
        <f>V80+V84+V88</f>
        <v>163422.80534000002</v>
      </c>
      <c r="R98" s="670"/>
      <c r="S98" s="670"/>
      <c r="T98" s="670"/>
      <c r="U98" s="670"/>
      <c r="V98" s="670"/>
      <c r="W98" s="669">
        <f>AB80+AB84+AB88</f>
        <v>415065.50958680001</v>
      </c>
      <c r="X98" s="670"/>
      <c r="Y98" s="670"/>
      <c r="Z98" s="670"/>
      <c r="AA98" s="670"/>
      <c r="AB98" s="670"/>
      <c r="AC98" s="669">
        <f>AH80+AH84+AH88</f>
        <v>311535.64227853599</v>
      </c>
      <c r="AD98" s="670"/>
      <c r="AE98" s="670"/>
      <c r="AF98" s="670"/>
      <c r="AG98" s="670"/>
      <c r="AH98" s="670"/>
      <c r="AI98" s="669">
        <f t="shared" ref="AI98" si="142">AN80+AN84+AN88</f>
        <v>0</v>
      </c>
      <c r="AJ98" s="670"/>
      <c r="AK98" s="670"/>
      <c r="AL98" s="670"/>
      <c r="AM98" s="670"/>
      <c r="AN98" s="670"/>
      <c r="AO98" s="218">
        <f>SUM(K98:AN98)</f>
        <v>1019049.162205336</v>
      </c>
    </row>
    <row r="99" spans="1:42" s="40" customFormat="1" ht="18.600000000000001" thickBot="1" x14ac:dyDescent="0.35">
      <c r="A99" s="47" t="s">
        <v>201</v>
      </c>
      <c r="B99" s="44"/>
      <c r="C99" s="44"/>
      <c r="D99" s="44"/>
      <c r="E99" s="44"/>
      <c r="F99" s="44"/>
      <c r="G99" s="44"/>
      <c r="H99" s="44"/>
      <c r="I99" s="44"/>
      <c r="J99" s="44"/>
      <c r="K99" s="671">
        <f>P50+P54+P58+P67+K98</f>
        <v>404753.28200000006</v>
      </c>
      <c r="L99" s="672"/>
      <c r="M99" s="672"/>
      <c r="N99" s="672"/>
      <c r="O99" s="672"/>
      <c r="P99" s="672"/>
      <c r="Q99" s="671">
        <f>V50+V54+V58+V67+Q98</f>
        <v>696340.49374999991</v>
      </c>
      <c r="R99" s="672"/>
      <c r="S99" s="672"/>
      <c r="T99" s="672"/>
      <c r="U99" s="672"/>
      <c r="V99" s="673"/>
      <c r="W99" s="672">
        <f>AB50+AB54+AB58+AB67+W98</f>
        <v>971818.226165</v>
      </c>
      <c r="X99" s="672"/>
      <c r="Y99" s="672"/>
      <c r="Z99" s="672"/>
      <c r="AA99" s="672"/>
      <c r="AB99" s="673"/>
      <c r="AC99" s="671">
        <f>AH50+AH54+AH58+AH67+AC98</f>
        <v>682228.17452445999</v>
      </c>
      <c r="AD99" s="672"/>
      <c r="AE99" s="672"/>
      <c r="AF99" s="672"/>
      <c r="AG99" s="672"/>
      <c r="AH99" s="673"/>
      <c r="AI99" s="671">
        <f>AN50+AN54+AN58+AN67+AI98</f>
        <v>0</v>
      </c>
      <c r="AJ99" s="672"/>
      <c r="AK99" s="672"/>
      <c r="AL99" s="672"/>
      <c r="AM99" s="672"/>
      <c r="AN99" s="673"/>
      <c r="AO99" s="424">
        <f>SUM(K99:AN99)</f>
        <v>2755140.1764394599</v>
      </c>
    </row>
    <row r="100" spans="1:42" s="32" customFormat="1" ht="15" thickBot="1" x14ac:dyDescent="0.35">
      <c r="A100" s="27" t="s">
        <v>202</v>
      </c>
      <c r="B100" s="28"/>
      <c r="C100" s="28"/>
      <c r="D100" s="28"/>
      <c r="E100" s="28"/>
      <c r="F100" s="28"/>
      <c r="G100" s="28"/>
      <c r="H100" s="28"/>
      <c r="I100" s="28"/>
      <c r="J100" s="28"/>
      <c r="K100" s="664">
        <f>IF(P88&gt;0,K99-P94-P88-P54+ SUM(HJF!K91,Penn!K86,'Pitt Foundation'!K86),K99-P94-P54)</f>
        <v>373158.07700000005</v>
      </c>
      <c r="L100" s="665"/>
      <c r="M100" s="665"/>
      <c r="N100" s="665"/>
      <c r="O100" s="665"/>
      <c r="P100" s="666"/>
      <c r="Q100" s="664">
        <f>IF(V88&gt;0,Q99-V94-V88-V54+ SUM(HJF!Q91,Penn!Q86,'Pitt Foundation'!Q86),Q99-V94-V54)</f>
        <v>616188.68840999994</v>
      </c>
      <c r="R100" s="665"/>
      <c r="S100" s="665"/>
      <c r="T100" s="665"/>
      <c r="U100" s="665"/>
      <c r="V100" s="666"/>
      <c r="W100" s="665">
        <f>IF(AB88&gt;0,W99-AB94-AB88-AB54+ SUM(HJF!W91,Penn!W86,'Pitt Foundation'!W86),W99-AB94-AB54)</f>
        <v>646305.71657819999</v>
      </c>
      <c r="X100" s="665"/>
      <c r="Y100" s="665"/>
      <c r="Z100" s="665"/>
      <c r="AA100" s="665"/>
      <c r="AB100" s="666"/>
      <c r="AC100" s="664">
        <f>IF(AH88&gt;0,AC99-AH94-AH88-AH54+ SUM(HJF!AC91,Penn!AC86,'Pitt Foundation'!AC86),AC99-AH94-AH54)</f>
        <v>392725.532245924</v>
      </c>
      <c r="AD100" s="665"/>
      <c r="AE100" s="665"/>
      <c r="AF100" s="665"/>
      <c r="AG100" s="665"/>
      <c r="AH100" s="666"/>
      <c r="AI100" s="664">
        <f>IF(AN88&gt;0,AI99-AN94-AN88-AN60-AN54+ SUM(HJF!AI91,Penn!AI86,'Pitt Foundation'!AI86),AI99-AN94-AN60-AN54)</f>
        <v>0</v>
      </c>
      <c r="AJ100" s="665"/>
      <c r="AK100" s="665"/>
      <c r="AL100" s="665"/>
      <c r="AM100" s="665"/>
      <c r="AN100" s="666"/>
      <c r="AO100" s="219">
        <f>SUM(K100:AN100)</f>
        <v>2028378.014234124</v>
      </c>
      <c r="AP100" s="559"/>
    </row>
    <row r="101" spans="1:42" s="38" customFormat="1" ht="15" thickBot="1" x14ac:dyDescent="0.35">
      <c r="A101" s="33" t="s">
        <v>46</v>
      </c>
      <c r="B101" s="34"/>
      <c r="C101" s="34"/>
      <c r="D101" s="34"/>
      <c r="E101" s="34"/>
      <c r="F101" s="34"/>
      <c r="G101" s="34"/>
      <c r="H101" s="34"/>
      <c r="I101" s="34"/>
      <c r="J101" s="34"/>
      <c r="K101" s="674">
        <f>ROUND((K100*$E$10),0)</f>
        <v>63437</v>
      </c>
      <c r="L101" s="675"/>
      <c r="M101" s="675"/>
      <c r="N101" s="675"/>
      <c r="O101" s="675"/>
      <c r="P101" s="675"/>
      <c r="Q101" s="674">
        <f>ROUND((Q100*$E$11),0)</f>
        <v>104752</v>
      </c>
      <c r="R101" s="675"/>
      <c r="S101" s="675"/>
      <c r="T101" s="675"/>
      <c r="U101" s="675"/>
      <c r="V101" s="678"/>
      <c r="W101" s="675">
        <f>ROUND((W100*$E$12),0)</f>
        <v>109872</v>
      </c>
      <c r="X101" s="675"/>
      <c r="Y101" s="675"/>
      <c r="Z101" s="675"/>
      <c r="AA101" s="675"/>
      <c r="AB101" s="678"/>
      <c r="AC101" s="674">
        <f>ROUND((AC100*$E$13),0)</f>
        <v>66763</v>
      </c>
      <c r="AD101" s="675"/>
      <c r="AE101" s="675"/>
      <c r="AF101" s="675"/>
      <c r="AG101" s="675"/>
      <c r="AH101" s="678"/>
      <c r="AI101" s="674">
        <f t="shared" ref="AI101" si="143">ROUND((AI100*$E$10),0)</f>
        <v>0</v>
      </c>
      <c r="AJ101" s="675"/>
      <c r="AK101" s="675"/>
      <c r="AL101" s="675"/>
      <c r="AM101" s="675"/>
      <c r="AN101" s="678"/>
      <c r="AO101" s="220">
        <f>SUM(K101:AN101)</f>
        <v>344824</v>
      </c>
    </row>
    <row r="102" spans="1:42" s="46" customFormat="1" ht="18.600000000000001" thickBot="1" x14ac:dyDescent="0.35">
      <c r="A102" s="48" t="s">
        <v>23</v>
      </c>
      <c r="B102" s="39"/>
      <c r="C102" s="39"/>
      <c r="D102" s="39"/>
      <c r="E102" s="39"/>
      <c r="F102" s="77"/>
      <c r="G102" s="77"/>
      <c r="H102" s="77"/>
      <c r="I102" s="77"/>
      <c r="J102" s="77"/>
      <c r="K102" s="676">
        <f>K99+K101</f>
        <v>468190.28200000006</v>
      </c>
      <c r="L102" s="677"/>
      <c r="M102" s="677"/>
      <c r="N102" s="677"/>
      <c r="O102" s="677"/>
      <c r="P102" s="677"/>
      <c r="Q102" s="676">
        <f t="shared" ref="Q102" si="144">Q99+Q101</f>
        <v>801092.49374999991</v>
      </c>
      <c r="R102" s="677"/>
      <c r="S102" s="677"/>
      <c r="T102" s="677"/>
      <c r="U102" s="677"/>
      <c r="V102" s="677"/>
      <c r="W102" s="676">
        <f t="shared" ref="W102" si="145">W99+W101</f>
        <v>1081690.2261649999</v>
      </c>
      <c r="X102" s="677"/>
      <c r="Y102" s="677"/>
      <c r="Z102" s="677"/>
      <c r="AA102" s="677"/>
      <c r="AB102" s="677"/>
      <c r="AC102" s="676">
        <f t="shared" ref="AC102" si="146">AC99+AC101</f>
        <v>748991.17452445999</v>
      </c>
      <c r="AD102" s="677"/>
      <c r="AE102" s="677"/>
      <c r="AF102" s="677"/>
      <c r="AG102" s="677"/>
      <c r="AH102" s="677"/>
      <c r="AI102" s="676">
        <f t="shared" ref="AI102" si="147">AI99+AI101</f>
        <v>0</v>
      </c>
      <c r="AJ102" s="677"/>
      <c r="AK102" s="677"/>
      <c r="AL102" s="677"/>
      <c r="AM102" s="677"/>
      <c r="AN102" s="679"/>
      <c r="AO102" s="221">
        <f>SUM(K102:AN102)</f>
        <v>3099964.1764394599</v>
      </c>
    </row>
    <row r="103" spans="1:42" s="509" customFormat="1" ht="15.6" x14ac:dyDescent="0.3">
      <c r="A103" s="503"/>
      <c r="B103" s="503"/>
      <c r="C103" s="503"/>
      <c r="D103" s="503"/>
      <c r="E103" s="503"/>
      <c r="F103" s="503"/>
      <c r="G103" s="503"/>
      <c r="H103" s="503"/>
      <c r="I103" s="503"/>
      <c r="J103" s="504" t="s">
        <v>203</v>
      </c>
      <c r="K103" s="505"/>
      <c r="L103" s="506"/>
      <c r="M103" s="507"/>
      <c r="N103" s="505"/>
      <c r="O103" s="505"/>
      <c r="P103" s="505"/>
      <c r="Q103" s="505"/>
      <c r="R103" s="506"/>
      <c r="S103" s="507"/>
      <c r="T103" s="505"/>
      <c r="U103" s="505"/>
      <c r="V103" s="505"/>
      <c r="W103" s="505"/>
      <c r="X103" s="506"/>
      <c r="Y103" s="507"/>
      <c r="Z103" s="505"/>
      <c r="AA103" s="505"/>
      <c r="AB103" s="505"/>
      <c r="AC103" s="505"/>
      <c r="AD103" s="506"/>
      <c r="AE103" s="507"/>
      <c r="AF103" s="505"/>
      <c r="AG103" s="505"/>
      <c r="AH103" s="505"/>
      <c r="AI103" s="505"/>
      <c r="AJ103" s="506"/>
      <c r="AK103" s="507"/>
      <c r="AL103" s="505"/>
      <c r="AM103" s="505"/>
      <c r="AN103" s="505"/>
      <c r="AO103" s="508"/>
    </row>
    <row r="104" spans="1:42" x14ac:dyDescent="0.3">
      <c r="K104" s="2"/>
      <c r="N104" s="2"/>
      <c r="O104" s="2"/>
      <c r="P104" s="2"/>
      <c r="Q104" s="2"/>
      <c r="T104" s="2"/>
      <c r="U104" s="2"/>
      <c r="V104" s="2"/>
      <c r="W104" s="2"/>
      <c r="Z104" s="2"/>
      <c r="AA104" s="2"/>
      <c r="AB104" s="2"/>
      <c r="AC104" s="2"/>
      <c r="AF104" s="2"/>
      <c r="AG104" s="2"/>
      <c r="AH104" s="2"/>
      <c r="AI104" s="2"/>
      <c r="AL104" s="2"/>
      <c r="AM104" s="2"/>
      <c r="AN104" s="2"/>
      <c r="AO104" s="2">
        <f>AO102-3086995</f>
        <v>12969.176439459901</v>
      </c>
      <c r="AP104" s="1" t="s">
        <v>204</v>
      </c>
    </row>
    <row r="105" spans="1:42" s="5" customFormat="1" x14ac:dyDescent="0.3">
      <c r="A105" s="420" t="s">
        <v>205</v>
      </c>
      <c r="B105" s="420"/>
      <c r="C105" s="420"/>
      <c r="D105" s="420"/>
      <c r="E105" s="420"/>
      <c r="F105" s="420"/>
      <c r="G105" s="420"/>
      <c r="H105" s="420"/>
      <c r="I105" s="420"/>
      <c r="J105" s="420"/>
      <c r="K105" s="421"/>
      <c r="L105" s="422"/>
      <c r="M105" s="423"/>
      <c r="N105" s="421"/>
      <c r="O105" s="421"/>
      <c r="P105" s="421"/>
      <c r="Q105" s="421"/>
      <c r="R105" s="422"/>
      <c r="S105" s="423"/>
      <c r="T105" s="421"/>
      <c r="U105" s="421"/>
      <c r="V105" s="421"/>
      <c r="W105" s="421"/>
      <c r="X105" s="422"/>
      <c r="Y105" s="423"/>
      <c r="Z105" s="421"/>
      <c r="AA105" s="421"/>
      <c r="AB105" s="421"/>
      <c r="AC105" s="421"/>
      <c r="AD105" s="422"/>
      <c r="AE105" s="423"/>
      <c r="AF105" s="421"/>
      <c r="AG105" s="421"/>
      <c r="AH105" s="421"/>
      <c r="AI105" s="421"/>
      <c r="AJ105" s="421"/>
      <c r="AK105" s="421"/>
      <c r="AL105" s="421"/>
      <c r="AM105" s="421"/>
      <c r="AN105" s="421"/>
    </row>
    <row r="106" spans="1:42" x14ac:dyDescent="0.3">
      <c r="K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Z106" s="2"/>
      <c r="AA106" s="2"/>
      <c r="AB106" s="2"/>
      <c r="AC106" s="2"/>
      <c r="AF106" s="2"/>
      <c r="AG106" s="2"/>
      <c r="AH106" s="2"/>
      <c r="AI106" s="2"/>
      <c r="AL106" s="2"/>
      <c r="AM106" s="2"/>
      <c r="AN106" s="2"/>
    </row>
    <row r="107" spans="1:42" x14ac:dyDescent="0.3">
      <c r="K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L107" s="2"/>
      <c r="AM107" s="2"/>
      <c r="AN107" s="2"/>
    </row>
    <row r="108" spans="1:42" x14ac:dyDescent="0.3">
      <c r="K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L108" s="2"/>
      <c r="AM108" s="2"/>
      <c r="AN108" s="2"/>
    </row>
    <row r="109" spans="1:42" x14ac:dyDescent="0.3">
      <c r="A109" s="17" t="s">
        <v>206</v>
      </c>
      <c r="K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L109" s="2"/>
      <c r="AM109" s="2"/>
      <c r="AN109" s="2"/>
    </row>
    <row r="110" spans="1:42" x14ac:dyDescent="0.3">
      <c r="K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L110" s="2"/>
      <c r="AM110" s="2"/>
      <c r="AN110" s="2"/>
    </row>
    <row r="111" spans="1:42" x14ac:dyDescent="0.3">
      <c r="K111" s="2"/>
      <c r="N111" s="2"/>
      <c r="O111" s="2"/>
      <c r="P111" s="2"/>
      <c r="Q111" s="2"/>
      <c r="T111" s="2"/>
      <c r="U111" s="2"/>
      <c r="V111" s="2"/>
      <c r="W111" s="2"/>
      <c r="Z111" s="2"/>
      <c r="AA111" s="2"/>
      <c r="AB111" s="2"/>
      <c r="AC111" s="2"/>
      <c r="AD111" s="2"/>
      <c r="AE111" s="2"/>
      <c r="AF111" s="2"/>
      <c r="AG111" s="2"/>
      <c r="AH111" s="2"/>
      <c r="AI111" s="2">
        <f t="shared" ref="AI111" si="148">AD100-AI110</f>
        <v>0</v>
      </c>
      <c r="AL111" s="2"/>
      <c r="AM111" s="2"/>
      <c r="AN111" s="2"/>
    </row>
    <row r="112" spans="1:42" x14ac:dyDescent="0.3">
      <c r="K112" s="2"/>
      <c r="N112" s="2"/>
      <c r="O112" s="2"/>
      <c r="P112" s="2"/>
      <c r="Q112" s="2"/>
      <c r="T112" s="2"/>
      <c r="U112" s="2"/>
      <c r="V112" s="2"/>
      <c r="W112" s="2"/>
      <c r="Z112" s="2"/>
      <c r="AA112" s="2"/>
      <c r="AB112" s="2"/>
      <c r="AC112" s="2"/>
      <c r="AF112" s="2"/>
      <c r="AG112" s="2"/>
      <c r="AH112" s="2"/>
      <c r="AI112" s="2"/>
      <c r="AL112" s="2"/>
      <c r="AM112" s="2"/>
      <c r="AN112" s="2"/>
    </row>
    <row r="113" spans="11:40" x14ac:dyDescent="0.3">
      <c r="K113" s="2"/>
      <c r="N113" s="2"/>
      <c r="O113" s="2"/>
      <c r="P113" s="2"/>
      <c r="Q113" s="2"/>
      <c r="T113" s="2"/>
      <c r="U113" s="2"/>
      <c r="V113" s="2"/>
      <c r="W113" s="2"/>
      <c r="Z113" s="2"/>
      <c r="AA113" s="2"/>
      <c r="AB113" s="2"/>
      <c r="AC113" s="2"/>
      <c r="AF113" s="2"/>
      <c r="AG113" s="2"/>
      <c r="AH113" s="2"/>
      <c r="AI113" s="2"/>
      <c r="AL113" s="2"/>
      <c r="AM113" s="2"/>
      <c r="AN113" s="2"/>
    </row>
    <row r="114" spans="11:40" x14ac:dyDescent="0.3">
      <c r="K114" s="2"/>
      <c r="N114" s="2"/>
      <c r="O114" s="2"/>
      <c r="P114" s="2"/>
      <c r="Q114" s="2"/>
      <c r="T114" s="2"/>
      <c r="U114" s="2"/>
      <c r="V114" s="2"/>
      <c r="W114" s="2"/>
      <c r="Z114" s="2"/>
      <c r="AA114" s="2"/>
      <c r="AB114" s="2"/>
      <c r="AC114" s="2"/>
      <c r="AF114" s="2"/>
      <c r="AG114" s="2"/>
      <c r="AH114" s="2"/>
      <c r="AI114" s="2"/>
      <c r="AL114" s="2"/>
      <c r="AM114" s="2"/>
      <c r="AN114" s="2"/>
    </row>
    <row r="115" spans="11:40" x14ac:dyDescent="0.3">
      <c r="K115" s="2"/>
      <c r="N115" s="2"/>
      <c r="O115" s="2"/>
      <c r="P115" s="2"/>
      <c r="Q115" s="2"/>
      <c r="T115" s="2"/>
      <c r="U115" s="2"/>
      <c r="V115" s="2"/>
      <c r="W115" s="2"/>
      <c r="Z115" s="2"/>
      <c r="AA115" s="2"/>
      <c r="AB115" s="2"/>
      <c r="AC115" s="2"/>
      <c r="AF115" s="2"/>
      <c r="AG115" s="2"/>
      <c r="AH115" s="2"/>
      <c r="AI115" s="2"/>
      <c r="AL115" s="2"/>
      <c r="AM115" s="2"/>
      <c r="AN115" s="2"/>
    </row>
    <row r="116" spans="11:40" x14ac:dyDescent="0.3">
      <c r="K116" s="2"/>
      <c r="N116" s="2"/>
      <c r="O116" s="2"/>
      <c r="P116" s="2"/>
      <c r="Q116" s="2"/>
      <c r="T116" s="2"/>
      <c r="U116" s="2"/>
      <c r="V116" s="2"/>
      <c r="W116" s="2"/>
      <c r="Z116" s="2"/>
      <c r="AA116" s="2"/>
      <c r="AB116" s="2"/>
      <c r="AC116" s="2"/>
      <c r="AF116" s="2"/>
      <c r="AG116" s="2"/>
      <c r="AH116" s="2"/>
      <c r="AI116" s="2"/>
      <c r="AL116" s="2"/>
      <c r="AM116" s="2"/>
      <c r="AN116" s="2"/>
    </row>
    <row r="117" spans="11:40" x14ac:dyDescent="0.3">
      <c r="K117" s="2"/>
      <c r="N117" s="2"/>
      <c r="O117" s="2"/>
      <c r="P117" s="2"/>
      <c r="Q117" s="2"/>
      <c r="T117" s="2"/>
      <c r="U117" s="2"/>
      <c r="V117" s="2"/>
      <c r="W117" s="2"/>
      <c r="Z117" s="2"/>
      <c r="AA117" s="2"/>
      <c r="AB117" s="2"/>
      <c r="AC117" s="2"/>
      <c r="AF117" s="2"/>
      <c r="AG117" s="2"/>
      <c r="AH117" s="2"/>
      <c r="AI117" s="2"/>
      <c r="AL117" s="2"/>
      <c r="AM117" s="2"/>
      <c r="AN117" s="2"/>
    </row>
  </sheetData>
  <mergeCells count="83">
    <mergeCell ref="AI101:AN101"/>
    <mergeCell ref="Q102:V102"/>
    <mergeCell ref="W102:AB102"/>
    <mergeCell ref="AC102:AH102"/>
    <mergeCell ref="AI102:AN102"/>
    <mergeCell ref="K101:P101"/>
    <mergeCell ref="K102:P102"/>
    <mergeCell ref="Q101:V101"/>
    <mergeCell ref="W101:AB101"/>
    <mergeCell ref="AC101:AH101"/>
    <mergeCell ref="AI98:AN98"/>
    <mergeCell ref="W100:AB100"/>
    <mergeCell ref="AC100:AH100"/>
    <mergeCell ref="AI100:AN100"/>
    <mergeCell ref="K99:P99"/>
    <mergeCell ref="Q99:V99"/>
    <mergeCell ref="W99:AB99"/>
    <mergeCell ref="AI99:AN99"/>
    <mergeCell ref="AC99:AH99"/>
    <mergeCell ref="Q100:V100"/>
    <mergeCell ref="K98:P98"/>
    <mergeCell ref="Q98:V98"/>
    <mergeCell ref="W98:AB98"/>
    <mergeCell ref="AC98:AH98"/>
    <mergeCell ref="B2:J2"/>
    <mergeCell ref="B1:E1"/>
    <mergeCell ref="B5:E5"/>
    <mergeCell ref="B7:E7"/>
    <mergeCell ref="K100:P100"/>
    <mergeCell ref="P18:P19"/>
    <mergeCell ref="A53:F53"/>
    <mergeCell ref="W18:W19"/>
    <mergeCell ref="AC18:AC19"/>
    <mergeCell ref="R18:R19"/>
    <mergeCell ref="S18:S19"/>
    <mergeCell ref="T18:T19"/>
    <mergeCell ref="U18:U19"/>
    <mergeCell ref="X18:X19"/>
    <mergeCell ref="Y18:Y19"/>
    <mergeCell ref="Z18:Z19"/>
    <mergeCell ref="AA18:AA19"/>
    <mergeCell ref="V18:V19"/>
    <mergeCell ref="Q18:Q19"/>
    <mergeCell ref="B4:E4"/>
    <mergeCell ref="B3:E3"/>
    <mergeCell ref="B6:E6"/>
    <mergeCell ref="B8:E8"/>
    <mergeCell ref="O18:O19"/>
    <mergeCell ref="A9:B9"/>
    <mergeCell ref="D9:E9"/>
    <mergeCell ref="F18:H18"/>
    <mergeCell ref="L18:L19"/>
    <mergeCell ref="M18:M19"/>
    <mergeCell ref="N18:N19"/>
    <mergeCell ref="AI17:AN17"/>
    <mergeCell ref="AD18:AD19"/>
    <mergeCell ref="AE18:AE19"/>
    <mergeCell ref="AF18:AF19"/>
    <mergeCell ref="AB18:AB19"/>
    <mergeCell ref="AK18:AK19"/>
    <mergeCell ref="AL18:AL19"/>
    <mergeCell ref="AM18:AM19"/>
    <mergeCell ref="AN18:AN19"/>
    <mergeCell ref="AJ18:AJ19"/>
    <mergeCell ref="AI18:AI19"/>
    <mergeCell ref="AG18:AG19"/>
    <mergeCell ref="AH18:AH19"/>
    <mergeCell ref="BK32:BO32"/>
    <mergeCell ref="K18:K19"/>
    <mergeCell ref="AP32:AU32"/>
    <mergeCell ref="AV32:AZ32"/>
    <mergeCell ref="BA32:BE32"/>
    <mergeCell ref="BF32:BJ32"/>
    <mergeCell ref="AO16:AO18"/>
    <mergeCell ref="K16:P16"/>
    <mergeCell ref="Q16:V16"/>
    <mergeCell ref="W16:AB16"/>
    <mergeCell ref="AC16:AH16"/>
    <mergeCell ref="AI16:AN16"/>
    <mergeCell ref="K17:P17"/>
    <mergeCell ref="Q17:V17"/>
    <mergeCell ref="W17:AB17"/>
    <mergeCell ref="AC17:AH17"/>
  </mergeCells>
  <dataValidations count="1">
    <dataValidation type="list" allowBlank="1" showInputMessage="1" showErrorMessage="1" sqref="D21:D31 D34:D48" xr:uid="{00000000-0002-0000-0100-000000000000}">
      <formula1>$A$10:$A$14</formula1>
    </dataValidation>
  </dataValidations>
  <hyperlinks>
    <hyperlink ref="K70" r:id="rId1" xr:uid="{9DE53200-67A9-FD4A-8D56-0B36BBB7C7AE}"/>
  </hyperlinks>
  <pageMargins left="0.1" right="0.1" top="0.1" bottom="0.1" header="0.3" footer="0.3"/>
  <pageSetup scale="56" orientation="landscape" horizontalDpi="1200" verticalDpi="1200" r:id="rId2"/>
  <ignoredErrors>
    <ignoredError sqref="V94" formula="1"/>
  </ignoredErrors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'Stipends &amp; Salary Caps'!$A$22:$A$24</xm:f>
          </x14:formula1>
          <xm:sqref>B7:E7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4" tint="0.39997558519241921"/>
    <pageSetUpPr fitToPage="1"/>
  </sheetPr>
  <dimension ref="A1:AK104"/>
  <sheetViews>
    <sheetView showGridLines="0" zoomScaleNormal="100" zoomScalePageLayoutView="70" workbookViewId="0">
      <selection activeCell="V33" sqref="V33"/>
    </sheetView>
  </sheetViews>
  <sheetFormatPr defaultColWidth="8.88671875" defaultRowHeight="14.4" outlineLevelRow="1" outlineLevelCol="1" x14ac:dyDescent="0.3"/>
  <cols>
    <col min="1" max="1" width="23" style="6" customWidth="1"/>
    <col min="2" max="2" width="18.44140625" style="6" bestFit="1" customWidth="1"/>
    <col min="3" max="3" width="12.44140625" style="6" bestFit="1" customWidth="1"/>
    <col min="4" max="4" width="9.5546875" style="6" customWidth="1"/>
    <col min="5" max="5" width="12.44140625" style="1" bestFit="1" customWidth="1"/>
    <col min="6" max="6" width="11.5546875" style="1" customWidth="1"/>
    <col min="7" max="7" width="11.88671875" style="26" customWidth="1"/>
    <col min="8" max="8" width="11.44140625" style="20" bestFit="1" customWidth="1"/>
    <col min="9" max="9" width="11.88671875" style="1" customWidth="1"/>
    <col min="10" max="10" width="9.88671875" style="1" customWidth="1"/>
    <col min="11" max="11" width="11" style="1" customWidth="1"/>
    <col min="12" max="12" width="11.5546875" style="1" customWidth="1" outlineLevel="1"/>
    <col min="13" max="13" width="11.88671875" style="26" customWidth="1" outlineLevel="1"/>
    <col min="14" max="14" width="11.109375" style="22" customWidth="1" outlineLevel="1"/>
    <col min="15" max="15" width="11.88671875" style="1" customWidth="1" outlineLevel="1"/>
    <col min="16" max="16" width="13.44140625" style="1" customWidth="1" outlineLevel="1"/>
    <col min="17" max="17" width="12.44140625" style="1" bestFit="1" customWidth="1" outlineLevel="1"/>
    <col min="18" max="18" width="11.5546875" style="1" customWidth="1" outlineLevel="1"/>
    <col min="19" max="19" width="11.88671875" style="26" customWidth="1" outlineLevel="1"/>
    <col min="20" max="20" width="11.109375" style="20" customWidth="1" outlineLevel="1"/>
    <col min="21" max="21" width="11.88671875" style="1" customWidth="1" outlineLevel="1"/>
    <col min="22" max="22" width="9.88671875" style="1" customWidth="1" outlineLevel="1"/>
    <col min="23" max="23" width="12.44140625" style="1" bestFit="1" customWidth="1" outlineLevel="1"/>
    <col min="24" max="24" width="11.5546875" style="1" customWidth="1" outlineLevel="1"/>
    <col min="25" max="25" width="11.88671875" style="26" customWidth="1" outlineLevel="1"/>
    <col min="26" max="26" width="11.109375" style="20" customWidth="1" outlineLevel="1"/>
    <col min="27" max="27" width="11.88671875" style="1" customWidth="1" outlineLevel="1"/>
    <col min="28" max="28" width="9.88671875" style="1" customWidth="1" outlineLevel="1"/>
    <col min="29" max="29" width="12.44140625" style="1" customWidth="1" outlineLevel="1"/>
    <col min="30" max="30" width="11.5546875" style="1" hidden="1" customWidth="1" outlineLevel="1"/>
    <col min="31" max="31" width="11.88671875" style="26" hidden="1" customWidth="1" outlineLevel="1"/>
    <col min="32" max="32" width="11.109375" style="20" hidden="1" customWidth="1" outlineLevel="1"/>
    <col min="33" max="33" width="11.88671875" style="1" hidden="1" customWidth="1" outlineLevel="1"/>
    <col min="34" max="34" width="9.88671875" style="1" hidden="1" customWidth="1" outlineLevel="1"/>
    <col min="35" max="35" width="11" style="1" hidden="1" customWidth="1" outlineLevel="1"/>
    <col min="36" max="36" width="17.44140625" style="1" customWidth="1"/>
    <col min="37" max="16384" width="8.88671875" style="1"/>
  </cols>
  <sheetData>
    <row r="1" spans="1:32" s="158" customFormat="1" ht="15" customHeight="1" x14ac:dyDescent="0.3">
      <c r="A1" s="126" t="s">
        <v>4</v>
      </c>
      <c r="B1" s="688" t="str">
        <f>'Primary Site'!$B$1</f>
        <v>DoD CDMRP Epilepsy Research Program Research Partnership Award</v>
      </c>
      <c r="C1" s="688"/>
      <c r="D1" s="688"/>
      <c r="E1" s="688"/>
      <c r="F1" s="154"/>
      <c r="G1" s="154"/>
      <c r="H1" s="154"/>
      <c r="I1" s="154"/>
      <c r="J1" s="154"/>
      <c r="M1" s="156"/>
      <c r="N1" s="186"/>
      <c r="S1" s="156"/>
      <c r="T1" s="185"/>
      <c r="Y1" s="156"/>
      <c r="Z1" s="185"/>
      <c r="AE1" s="156"/>
      <c r="AF1" s="185"/>
    </row>
    <row r="2" spans="1:32" s="158" customFormat="1" x14ac:dyDescent="0.3">
      <c r="A2" s="126" t="s">
        <v>0</v>
      </c>
      <c r="B2" s="688" t="str">
        <f>'Primary Site'!$B$2</f>
        <v>MINUTE</v>
      </c>
      <c r="C2" s="688"/>
      <c r="D2" s="688"/>
      <c r="E2" s="688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6"/>
      <c r="S2" s="156"/>
      <c r="T2" s="185"/>
      <c r="Y2" s="156"/>
      <c r="Z2" s="185"/>
      <c r="AE2" s="156"/>
      <c r="AF2" s="185"/>
    </row>
    <row r="3" spans="1:32" s="158" customFormat="1" x14ac:dyDescent="0.3">
      <c r="A3" s="126" t="s">
        <v>207</v>
      </c>
      <c r="B3" s="687" t="s">
        <v>208</v>
      </c>
      <c r="C3" s="687"/>
      <c r="D3" s="687"/>
      <c r="E3" s="687"/>
      <c r="G3" s="154"/>
      <c r="H3" s="154"/>
      <c r="I3" s="154"/>
      <c r="M3" s="156"/>
      <c r="N3" s="186"/>
      <c r="S3" s="156"/>
      <c r="T3" s="185"/>
      <c r="Y3" s="156"/>
      <c r="Z3" s="185"/>
      <c r="AE3" s="156"/>
      <c r="AF3" s="185"/>
    </row>
    <row r="4" spans="1:32" s="158" customFormat="1" x14ac:dyDescent="0.3">
      <c r="A4" s="126" t="s">
        <v>209</v>
      </c>
      <c r="B4" s="687" t="s">
        <v>13</v>
      </c>
      <c r="C4" s="687"/>
      <c r="D4" s="687"/>
      <c r="E4" s="687"/>
      <c r="G4" s="154"/>
      <c r="H4" s="154"/>
      <c r="I4" s="154"/>
      <c r="M4" s="156"/>
      <c r="N4" s="186"/>
      <c r="S4" s="156"/>
      <c r="T4" s="185"/>
      <c r="Y4" s="156"/>
      <c r="Z4" s="185"/>
      <c r="AE4" s="156"/>
      <c r="AF4" s="185"/>
    </row>
    <row r="5" spans="1:32" s="158" customFormat="1" outlineLevel="1" x14ac:dyDescent="0.3">
      <c r="A5" s="126" t="s">
        <v>40</v>
      </c>
      <c r="B5" s="689">
        <v>44470</v>
      </c>
      <c r="C5" s="687"/>
      <c r="D5" s="687"/>
      <c r="E5" s="687"/>
      <c r="G5" s="154"/>
      <c r="H5" s="154"/>
      <c r="I5" s="154"/>
      <c r="M5" s="156"/>
      <c r="N5" s="186"/>
      <c r="S5" s="156"/>
      <c r="T5" s="185"/>
      <c r="Y5" s="156"/>
      <c r="Z5" s="185"/>
      <c r="AE5" s="156"/>
      <c r="AF5" s="185"/>
    </row>
    <row r="6" spans="1:32" s="158" customFormat="1" ht="15.9" customHeight="1" outlineLevel="1" x14ac:dyDescent="0.3">
      <c r="A6" s="126" t="s">
        <v>41</v>
      </c>
      <c r="B6" s="687">
        <v>4</v>
      </c>
      <c r="C6" s="687"/>
      <c r="D6" s="687"/>
      <c r="E6" s="687"/>
      <c r="G6" s="154"/>
      <c r="H6" s="154"/>
      <c r="I6" s="154"/>
      <c r="K6" s="187"/>
      <c r="M6" s="156"/>
      <c r="N6" s="186"/>
      <c r="S6" s="156"/>
      <c r="T6" s="185"/>
      <c r="Y6" s="156"/>
      <c r="Z6" s="185"/>
      <c r="AE6" s="156"/>
      <c r="AF6" s="185"/>
    </row>
    <row r="7" spans="1:32" s="158" customFormat="1" ht="15.9" customHeight="1" outlineLevel="1" x14ac:dyDescent="0.3">
      <c r="A7" s="126" t="s">
        <v>6</v>
      </c>
      <c r="B7" s="687" t="str">
        <f>'Primary Site'!$B$6</f>
        <v xml:space="preserve">DoD  </v>
      </c>
      <c r="C7" s="687"/>
      <c r="D7" s="687"/>
      <c r="E7" s="687"/>
      <c r="F7" s="154"/>
      <c r="G7" s="154"/>
      <c r="H7" s="154"/>
      <c r="I7" s="154"/>
      <c r="K7" s="187"/>
      <c r="M7" s="156"/>
      <c r="N7" s="186"/>
      <c r="S7" s="156"/>
      <c r="T7" s="185"/>
      <c r="Y7" s="156"/>
      <c r="Z7" s="185"/>
      <c r="AE7" s="156"/>
      <c r="AF7" s="185"/>
    </row>
    <row r="8" spans="1:32" s="158" customFormat="1" ht="15" customHeight="1" outlineLevel="1" x14ac:dyDescent="0.3">
      <c r="A8" s="126" t="s">
        <v>43</v>
      </c>
      <c r="B8" s="687" t="str">
        <f>'Primary Site'!$B$7</f>
        <v>None</v>
      </c>
      <c r="C8" s="687"/>
      <c r="D8" s="687"/>
      <c r="E8" s="687"/>
      <c r="F8" s="154"/>
      <c r="G8" s="154"/>
      <c r="H8" s="154"/>
      <c r="I8" s="154"/>
      <c r="K8" s="187"/>
      <c r="M8" s="156"/>
      <c r="N8" s="186"/>
      <c r="S8" s="156"/>
      <c r="T8" s="185"/>
      <c r="Y8" s="156"/>
      <c r="Z8" s="185"/>
      <c r="AE8" s="156"/>
      <c r="AF8" s="185"/>
    </row>
    <row r="9" spans="1:32" s="158" customFormat="1" ht="15" customHeight="1" outlineLevel="1" thickBot="1" x14ac:dyDescent="0.35">
      <c r="A9" s="126" t="s">
        <v>7</v>
      </c>
      <c r="B9" s="686">
        <f>'Primary Site'!$B$8</f>
        <v>44033</v>
      </c>
      <c r="C9" s="686"/>
      <c r="D9" s="686"/>
      <c r="E9" s="686"/>
      <c r="G9" s="126"/>
      <c r="H9" s="126"/>
      <c r="I9" s="160"/>
      <c r="K9" s="187"/>
      <c r="M9" s="156"/>
      <c r="N9" s="186"/>
      <c r="S9" s="156"/>
      <c r="T9" s="185"/>
      <c r="Y9" s="156"/>
      <c r="Z9" s="185"/>
      <c r="AE9" s="156"/>
      <c r="AF9" s="185"/>
    </row>
    <row r="10" spans="1:32" s="158" customFormat="1" ht="15" outlineLevel="1" thickBot="1" x14ac:dyDescent="0.35">
      <c r="A10" s="658" t="s">
        <v>45</v>
      </c>
      <c r="B10" s="659"/>
      <c r="C10" s="175"/>
      <c r="D10" s="660" t="s">
        <v>46</v>
      </c>
      <c r="E10" s="661"/>
      <c r="F10" s="184" t="s">
        <v>47</v>
      </c>
      <c r="G10" s="175" t="s">
        <v>48</v>
      </c>
      <c r="H10" s="176" t="s">
        <v>49</v>
      </c>
      <c r="N10" s="186"/>
      <c r="S10" s="156"/>
      <c r="T10" s="185"/>
      <c r="Y10" s="156"/>
      <c r="Z10" s="185"/>
      <c r="AE10" s="156"/>
      <c r="AF10" s="185"/>
    </row>
    <row r="11" spans="1:32" s="158" customFormat="1" outlineLevel="1" x14ac:dyDescent="0.3">
      <c r="A11" s="127" t="s">
        <v>50</v>
      </c>
      <c r="B11" s="224"/>
      <c r="C11" s="224">
        <v>0.26</v>
      </c>
      <c r="D11" s="162" t="s">
        <v>51</v>
      </c>
      <c r="E11" s="227"/>
      <c r="F11" s="177">
        <f>IF($B$6&gt;=1,1,"")</f>
        <v>1</v>
      </c>
      <c r="G11" s="201">
        <f>IF(NOT(ISBLANK(B5)), B5, "")</f>
        <v>44470</v>
      </c>
      <c r="H11" s="200">
        <f>IF(F11&lt;&gt;"",DATE(YEAR(G11)+1,MONTH(G11),DAY(G11)-1),"")</f>
        <v>44834</v>
      </c>
      <c r="N11" s="186"/>
      <c r="S11" s="156"/>
      <c r="T11" s="185"/>
      <c r="Y11" s="156"/>
      <c r="Z11" s="185"/>
      <c r="AE11" s="156"/>
      <c r="AF11" s="185"/>
    </row>
    <row r="12" spans="1:32" s="158" customFormat="1" outlineLevel="1" x14ac:dyDescent="0.3">
      <c r="A12" s="127" t="s">
        <v>52</v>
      </c>
      <c r="B12" s="225"/>
      <c r="C12" s="225"/>
      <c r="D12" s="162" t="s">
        <v>53</v>
      </c>
      <c r="E12" s="227"/>
      <c r="F12" s="178">
        <f>IF($B$6&gt;=2,2,"")</f>
        <v>2</v>
      </c>
      <c r="G12" s="179">
        <f>IF(F12&lt;&gt;"",DATE(YEAR(G11)+1,MONTH(G11), DAY(G11)),"")</f>
        <v>44835</v>
      </c>
      <c r="H12" s="180">
        <f>IF(F12&lt;&gt;"",DATE(YEAR(G12)+1,MONTH(G12),DAY(G12)-1),"")</f>
        <v>45199</v>
      </c>
      <c r="N12" s="186"/>
      <c r="S12" s="156"/>
      <c r="T12" s="185"/>
      <c r="Y12" s="156"/>
      <c r="Z12" s="185"/>
      <c r="AE12" s="156"/>
      <c r="AF12" s="185"/>
    </row>
    <row r="13" spans="1:32" s="158" customFormat="1" outlineLevel="1" x14ac:dyDescent="0.3">
      <c r="A13" s="127" t="s">
        <v>54</v>
      </c>
      <c r="B13" s="225"/>
      <c r="C13" s="225"/>
      <c r="D13" s="163" t="s">
        <v>55</v>
      </c>
      <c r="E13" s="227"/>
      <c r="F13" s="178">
        <f>IF($B$6&gt;=3,3,"")</f>
        <v>3</v>
      </c>
      <c r="G13" s="179">
        <f t="shared" ref="G13:G15" si="0">IF(F13&lt;&gt;"",DATE(YEAR(G12)+1,MONTH(G12), DAY(G12)),"")</f>
        <v>45200</v>
      </c>
      <c r="H13" s="180">
        <f t="shared" ref="H13:H15" si="1">IF(F13&lt;&gt;"",DATE(YEAR(G13)+1,MONTH(G13),DAY(G13)-1),"")</f>
        <v>45565</v>
      </c>
      <c r="N13" s="186"/>
      <c r="S13" s="156"/>
      <c r="T13" s="185"/>
      <c r="Y13" s="156"/>
      <c r="Z13" s="185"/>
      <c r="AE13" s="156"/>
      <c r="AF13" s="185"/>
    </row>
    <row r="14" spans="1:32" s="158" customFormat="1" outlineLevel="1" x14ac:dyDescent="0.3">
      <c r="A14" s="127" t="s">
        <v>56</v>
      </c>
      <c r="B14" s="225"/>
      <c r="C14" s="225"/>
      <c r="D14" s="163" t="s">
        <v>57</v>
      </c>
      <c r="E14" s="227"/>
      <c r="F14" s="178">
        <f>IF($B$6&gt;=4,4,"")</f>
        <v>4</v>
      </c>
      <c r="G14" s="179">
        <f t="shared" si="0"/>
        <v>45566</v>
      </c>
      <c r="H14" s="180">
        <f t="shared" si="1"/>
        <v>45930</v>
      </c>
      <c r="N14" s="186"/>
      <c r="S14" s="156"/>
      <c r="T14" s="185"/>
      <c r="Y14" s="156"/>
      <c r="Z14" s="185"/>
      <c r="AE14" s="156"/>
      <c r="AF14" s="185"/>
    </row>
    <row r="15" spans="1:32" s="158" customFormat="1" ht="15" outlineLevel="1" thickBot="1" x14ac:dyDescent="0.35">
      <c r="A15" s="128" t="s">
        <v>58</v>
      </c>
      <c r="B15" s="226"/>
      <c r="C15" s="226">
        <v>0.3</v>
      </c>
      <c r="D15" s="165" t="s">
        <v>59</v>
      </c>
      <c r="E15" s="228"/>
      <c r="F15" s="181" t="str">
        <f>IF($B$6&gt;=5,5,"")</f>
        <v/>
      </c>
      <c r="G15" s="182" t="str">
        <f t="shared" si="0"/>
        <v/>
      </c>
      <c r="H15" s="183" t="str">
        <f t="shared" si="1"/>
        <v/>
      </c>
      <c r="N15" s="186"/>
      <c r="S15" s="156"/>
      <c r="T15" s="185"/>
      <c r="Y15" s="156"/>
      <c r="Z15" s="185"/>
      <c r="AE15" s="156"/>
      <c r="AF15" s="185"/>
    </row>
    <row r="16" spans="1:32" s="158" customFormat="1" ht="15" outlineLevel="1" thickBot="1" x14ac:dyDescent="0.35">
      <c r="A16" s="154"/>
      <c r="B16" s="154"/>
      <c r="C16" s="154"/>
      <c r="D16" s="154"/>
      <c r="G16" s="156"/>
      <c r="H16" s="185"/>
      <c r="M16" s="156"/>
      <c r="N16" s="186"/>
      <c r="S16" s="156"/>
      <c r="T16" s="185"/>
      <c r="Y16" s="156"/>
      <c r="Z16" s="185"/>
      <c r="AE16" s="156"/>
      <c r="AF16" s="185"/>
    </row>
    <row r="17" spans="1:36" ht="18.75" customHeight="1" x14ac:dyDescent="0.3">
      <c r="A17" s="236" t="s">
        <v>62</v>
      </c>
      <c r="B17" s="237"/>
      <c r="C17" s="237"/>
      <c r="D17" s="237"/>
      <c r="E17" s="238"/>
      <c r="F17" s="683" t="s">
        <v>51</v>
      </c>
      <c r="G17" s="684"/>
      <c r="H17" s="684"/>
      <c r="I17" s="684"/>
      <c r="J17" s="684"/>
      <c r="K17" s="685"/>
      <c r="L17" s="683" t="s">
        <v>53</v>
      </c>
      <c r="M17" s="684"/>
      <c r="N17" s="684"/>
      <c r="O17" s="684"/>
      <c r="P17" s="684"/>
      <c r="Q17" s="685"/>
      <c r="R17" s="684" t="s">
        <v>55</v>
      </c>
      <c r="S17" s="684"/>
      <c r="T17" s="684"/>
      <c r="U17" s="684"/>
      <c r="V17" s="684"/>
      <c r="W17" s="685"/>
      <c r="X17" s="683" t="s">
        <v>57</v>
      </c>
      <c r="Y17" s="684"/>
      <c r="Z17" s="684"/>
      <c r="AA17" s="684"/>
      <c r="AB17" s="684"/>
      <c r="AC17" s="685"/>
      <c r="AD17" s="683" t="s">
        <v>59</v>
      </c>
      <c r="AE17" s="684"/>
      <c r="AF17" s="684"/>
      <c r="AG17" s="684"/>
      <c r="AH17" s="684"/>
      <c r="AI17" s="685"/>
      <c r="AJ17" s="549" t="s">
        <v>67</v>
      </c>
    </row>
    <row r="18" spans="1:36" ht="18.600000000000001" thickBot="1" x14ac:dyDescent="0.35">
      <c r="A18" s="239"/>
      <c r="B18" s="239"/>
      <c r="C18" s="239"/>
      <c r="D18" s="239"/>
      <c r="E18" s="235"/>
      <c r="F18" s="680" t="str">
        <f>CONCATENATE(TEXT($G11,"mm/dd/yyy"),"  -  ",TEXT($H11,"mm/dd/yyyy"))</f>
        <v>10/01/2021  -  09/30/2022</v>
      </c>
      <c r="G18" s="681"/>
      <c r="H18" s="681"/>
      <c r="I18" s="681"/>
      <c r="J18" s="681"/>
      <c r="K18" s="682"/>
      <c r="L18" s="680" t="str">
        <f>CONCATENATE(TEXT($G12,"mm/dd/yyy"),"  -  ",TEXT($H12,"mm/dd/yyyy"))</f>
        <v>10/01/2022  -  09/30/2023</v>
      </c>
      <c r="M18" s="681"/>
      <c r="N18" s="681"/>
      <c r="O18" s="681"/>
      <c r="P18" s="681"/>
      <c r="Q18" s="682"/>
      <c r="R18" s="681" t="str">
        <f>CONCATENATE(TEXT($G13,"mm/dd/yyy"),"  -  ",TEXT($H13,"mm/dd/yyyy"))</f>
        <v>10/01/2023  -  09/30/2024</v>
      </c>
      <c r="S18" s="681"/>
      <c r="T18" s="681"/>
      <c r="U18" s="681"/>
      <c r="V18" s="681"/>
      <c r="W18" s="682"/>
      <c r="X18" s="680" t="str">
        <f>CONCATENATE(TEXT($G14,"mm/dd/yyy"),"  -  ",TEXT($H14,"mm/dd/yyyy"))</f>
        <v>10/01/2024  -  09/30/2025</v>
      </c>
      <c r="Y18" s="681"/>
      <c r="Z18" s="681"/>
      <c r="AA18" s="681"/>
      <c r="AB18" s="681"/>
      <c r="AC18" s="682"/>
      <c r="AD18" s="680" t="str">
        <f>CONCATENATE(TEXT($G15,"mm/dd/yyy"),"  -  ",TEXT($H15,"mm/dd/yyyy"))</f>
        <v xml:space="preserve">  -  </v>
      </c>
      <c r="AE18" s="681"/>
      <c r="AF18" s="681"/>
      <c r="AG18" s="681"/>
      <c r="AH18" s="681"/>
      <c r="AI18" s="682"/>
      <c r="AJ18" s="550"/>
    </row>
    <row r="19" spans="1:36" s="4" customFormat="1" ht="44.25" customHeight="1" thickBot="1" x14ac:dyDescent="0.35">
      <c r="A19" s="208" t="s">
        <v>68</v>
      </c>
      <c r="B19" s="209" t="s">
        <v>69</v>
      </c>
      <c r="C19" s="209" t="s">
        <v>71</v>
      </c>
      <c r="D19" s="209" t="s">
        <v>72</v>
      </c>
      <c r="E19" s="210" t="s">
        <v>75</v>
      </c>
      <c r="F19" s="211" t="s">
        <v>210</v>
      </c>
      <c r="G19" s="212" t="s">
        <v>77</v>
      </c>
      <c r="H19" s="213" t="s">
        <v>78</v>
      </c>
      <c r="I19" s="214" t="s">
        <v>79</v>
      </c>
      <c r="J19" s="214" t="s">
        <v>80</v>
      </c>
      <c r="K19" s="210" t="s">
        <v>81</v>
      </c>
      <c r="L19" s="211" t="s">
        <v>210</v>
      </c>
      <c r="M19" s="212" t="s">
        <v>77</v>
      </c>
      <c r="N19" s="213" t="s">
        <v>78</v>
      </c>
      <c r="O19" s="214" t="s">
        <v>79</v>
      </c>
      <c r="P19" s="214" t="s">
        <v>80</v>
      </c>
      <c r="Q19" s="210" t="s">
        <v>81</v>
      </c>
      <c r="R19" s="211" t="s">
        <v>210</v>
      </c>
      <c r="S19" s="212" t="s">
        <v>77</v>
      </c>
      <c r="T19" s="213" t="s">
        <v>78</v>
      </c>
      <c r="U19" s="214" t="s">
        <v>79</v>
      </c>
      <c r="V19" s="214" t="s">
        <v>80</v>
      </c>
      <c r="W19" s="210" t="s">
        <v>81</v>
      </c>
      <c r="X19" s="214" t="s">
        <v>210</v>
      </c>
      <c r="Y19" s="212" t="s">
        <v>77</v>
      </c>
      <c r="Z19" s="213" t="s">
        <v>78</v>
      </c>
      <c r="AA19" s="214" t="s">
        <v>79</v>
      </c>
      <c r="AB19" s="214" t="s">
        <v>80</v>
      </c>
      <c r="AC19" s="210" t="s">
        <v>81</v>
      </c>
      <c r="AD19" s="211" t="s">
        <v>210</v>
      </c>
      <c r="AE19" s="212" t="s">
        <v>77</v>
      </c>
      <c r="AF19" s="213" t="s">
        <v>78</v>
      </c>
      <c r="AG19" s="214" t="s">
        <v>79</v>
      </c>
      <c r="AH19" s="214" t="s">
        <v>80</v>
      </c>
      <c r="AI19" s="210" t="s">
        <v>81</v>
      </c>
      <c r="AJ19" s="551"/>
    </row>
    <row r="20" spans="1:36" s="4" customFormat="1" ht="18" outlineLevel="1" x14ac:dyDescent="0.3">
      <c r="A20" s="13" t="s">
        <v>85</v>
      </c>
      <c r="B20" s="16"/>
      <c r="C20" s="16"/>
      <c r="D20" s="16"/>
      <c r="F20" s="63"/>
      <c r="G20" s="70"/>
      <c r="H20" s="83"/>
      <c r="I20" s="72"/>
      <c r="J20" s="72"/>
      <c r="K20" s="72"/>
      <c r="L20" s="63"/>
      <c r="M20" s="70"/>
      <c r="N20" s="83"/>
      <c r="O20" s="72"/>
      <c r="P20" s="72"/>
      <c r="Q20" s="84"/>
      <c r="R20" s="63"/>
      <c r="S20" s="70"/>
      <c r="T20" s="83"/>
      <c r="U20" s="72"/>
      <c r="V20" s="72"/>
      <c r="W20" s="84"/>
      <c r="X20" s="72"/>
      <c r="Y20" s="70"/>
      <c r="Z20" s="83"/>
      <c r="AA20" s="72"/>
      <c r="AB20" s="72"/>
      <c r="AC20" s="72"/>
      <c r="AD20" s="63"/>
      <c r="AE20" s="70"/>
      <c r="AF20" s="83"/>
      <c r="AG20" s="72"/>
      <c r="AH20" s="72"/>
      <c r="AI20" s="84"/>
      <c r="AJ20" s="552"/>
    </row>
    <row r="21" spans="1:36" ht="15.6" outlineLevel="1" x14ac:dyDescent="0.3">
      <c r="A21" s="229" t="s">
        <v>211</v>
      </c>
      <c r="B21" s="230" t="s">
        <v>212</v>
      </c>
      <c r="C21" s="230" t="s">
        <v>50</v>
      </c>
      <c r="D21" s="317">
        <v>0.26</v>
      </c>
      <c r="E21" s="584">
        <v>0</v>
      </c>
      <c r="F21" s="322">
        <f>IF(AND($E$8="DHHS",E21&gt;'Stipends &amp; Salary Caps'!$B$22),'Stipends &amp; Salary Caps'!$B$22,IF(AND($F$9="PCORI",E21&gt;'Stipends &amp; Salary Caps'!$B$23),'Stipends &amp; Salary Caps'!$B$23,E21))</f>
        <v>0</v>
      </c>
      <c r="G21" s="323">
        <f>12*H21</f>
        <v>0.60000000000000009</v>
      </c>
      <c r="H21" s="233">
        <v>0.05</v>
      </c>
      <c r="I21" s="324">
        <f>$E$21*H21</f>
        <v>0</v>
      </c>
      <c r="J21" s="324">
        <f t="shared" ref="J21:J31" si="2">I21*D21</f>
        <v>0</v>
      </c>
      <c r="K21" s="324">
        <f t="shared" ref="K21:K31" si="3">I21+J21</f>
        <v>0</v>
      </c>
      <c r="L21" s="322">
        <f>F21</f>
        <v>0</v>
      </c>
      <c r="M21" s="323">
        <f>12*N21</f>
        <v>1.2000000000000002</v>
      </c>
      <c r="N21" s="233">
        <v>0.1</v>
      </c>
      <c r="O21" s="324">
        <f>$L$21*N21</f>
        <v>0</v>
      </c>
      <c r="P21" s="324">
        <f t="shared" ref="P21:P34" si="4">O21*D21</f>
        <v>0</v>
      </c>
      <c r="Q21" s="325">
        <f t="shared" ref="Q21:Q31" si="5">O21+P21</f>
        <v>0</v>
      </c>
      <c r="R21" s="322">
        <f>L21</f>
        <v>0</v>
      </c>
      <c r="S21" s="323">
        <f>12*T21</f>
        <v>1.2000000000000002</v>
      </c>
      <c r="T21" s="233">
        <v>0.1</v>
      </c>
      <c r="U21" s="324">
        <f>$E$21*T21</f>
        <v>0</v>
      </c>
      <c r="V21" s="324">
        <f t="shared" ref="V21:V31" si="6">U21*D21</f>
        <v>0</v>
      </c>
      <c r="W21" s="325">
        <f t="shared" ref="W21:W31" si="7">U21+V21</f>
        <v>0</v>
      </c>
      <c r="X21" s="324">
        <f>R21</f>
        <v>0</v>
      </c>
      <c r="Y21" s="323">
        <f>12*Z21</f>
        <v>1.2000000000000002</v>
      </c>
      <c r="Z21" s="233">
        <v>0.1</v>
      </c>
      <c r="AA21" s="324">
        <f>$E$21*Z21</f>
        <v>0</v>
      </c>
      <c r="AB21" s="324">
        <f t="shared" ref="AB21:AB34" si="8">AA21*D21</f>
        <v>0</v>
      </c>
      <c r="AC21" s="324">
        <f t="shared" ref="AC21:AC31" si="9">AA21+AB21</f>
        <v>0</v>
      </c>
      <c r="AD21" s="322">
        <f>X21</f>
        <v>0</v>
      </c>
      <c r="AE21" s="323">
        <f>12*AF21</f>
        <v>0</v>
      </c>
      <c r="AF21" s="233"/>
      <c r="AG21" s="324">
        <f>$E$21*AF21</f>
        <v>0</v>
      </c>
      <c r="AH21" s="324">
        <f t="shared" ref="AH21:AH31" si="10">AG21*D21</f>
        <v>0</v>
      </c>
      <c r="AI21" s="325">
        <f t="shared" ref="AI21:AI31" si="11">AG21+AH21</f>
        <v>0</v>
      </c>
      <c r="AJ21" s="553">
        <f>K21+Q21+W21+AC21+AI21</f>
        <v>0</v>
      </c>
    </row>
    <row r="22" spans="1:36" ht="15.6" outlineLevel="1" x14ac:dyDescent="0.3">
      <c r="A22" s="229" t="s">
        <v>213</v>
      </c>
      <c r="B22" s="230" t="s">
        <v>89</v>
      </c>
      <c r="C22" s="230" t="s">
        <v>50</v>
      </c>
      <c r="D22" s="317">
        <v>0.26</v>
      </c>
      <c r="E22" s="584">
        <v>0</v>
      </c>
      <c r="F22" s="322">
        <f>IF(AND($E$8="DHHS",E22&gt;'Stipends &amp; Salary Caps'!$B$22),'Stipends &amp; Salary Caps'!$B$22,IF(AND($F$9="PCORI",E22&gt;'Stipends &amp; Salary Caps'!$B$23),'Stipends &amp; Salary Caps'!$B$23,E22))</f>
        <v>0</v>
      </c>
      <c r="G22" s="323">
        <f t="shared" ref="G22:G42" si="12">12*H22</f>
        <v>0.60000000000000009</v>
      </c>
      <c r="H22" s="233">
        <v>0.05</v>
      </c>
      <c r="I22" s="324">
        <f t="shared" ref="I22:I31" si="13">$E22*H22</f>
        <v>0</v>
      </c>
      <c r="J22" s="324">
        <f t="shared" si="2"/>
        <v>0</v>
      </c>
      <c r="K22" s="324">
        <f t="shared" si="3"/>
        <v>0</v>
      </c>
      <c r="L22" s="322">
        <f>F22</f>
        <v>0</v>
      </c>
      <c r="M22" s="323">
        <f>12*N22</f>
        <v>0.60000000000000009</v>
      </c>
      <c r="N22" s="233">
        <v>0.05</v>
      </c>
      <c r="O22" s="324">
        <f>$L22*N22</f>
        <v>0</v>
      </c>
      <c r="P22" s="324">
        <f t="shared" si="4"/>
        <v>0</v>
      </c>
      <c r="Q22" s="325">
        <f t="shared" si="5"/>
        <v>0</v>
      </c>
      <c r="R22" s="322">
        <f>L22</f>
        <v>0</v>
      </c>
      <c r="S22" s="323">
        <f t="shared" ref="S22:S42" si="14">12*T22</f>
        <v>0.60000000000000009</v>
      </c>
      <c r="T22" s="233">
        <v>0.05</v>
      </c>
      <c r="U22" s="324">
        <f t="shared" ref="U22:U31" si="15">$E22*T22</f>
        <v>0</v>
      </c>
      <c r="V22" s="324">
        <f t="shared" si="6"/>
        <v>0</v>
      </c>
      <c r="W22" s="325">
        <f t="shared" si="7"/>
        <v>0</v>
      </c>
      <c r="X22" s="324">
        <f>R22</f>
        <v>0</v>
      </c>
      <c r="Y22" s="323">
        <f t="shared" ref="Y22:Y42" si="16">12*Z22</f>
        <v>0.60000000000000009</v>
      </c>
      <c r="Z22" s="233">
        <v>0.05</v>
      </c>
      <c r="AA22" s="324">
        <f t="shared" ref="AA22:AA31" si="17">$E22*Z22</f>
        <v>0</v>
      </c>
      <c r="AB22" s="324">
        <f t="shared" si="8"/>
        <v>0</v>
      </c>
      <c r="AC22" s="324">
        <f t="shared" si="9"/>
        <v>0</v>
      </c>
      <c r="AD22" s="322">
        <f t="shared" ref="AD22:AD42" si="18">X22</f>
        <v>0</v>
      </c>
      <c r="AE22" s="323">
        <f t="shared" ref="AE22:AE42" si="19">12*AF22</f>
        <v>0</v>
      </c>
      <c r="AF22" s="233"/>
      <c r="AG22" s="324">
        <f t="shared" ref="AG22:AG31" si="20">$E22*AF22</f>
        <v>0</v>
      </c>
      <c r="AH22" s="324">
        <f t="shared" si="10"/>
        <v>0</v>
      </c>
      <c r="AI22" s="325">
        <f t="shared" si="11"/>
        <v>0</v>
      </c>
      <c r="AJ22" s="553">
        <f t="shared" ref="AJ22:AJ42" si="21">K22+Q22+W22+AC22+AI22</f>
        <v>0</v>
      </c>
    </row>
    <row r="23" spans="1:36" hidden="1" outlineLevel="1" x14ac:dyDescent="0.3">
      <c r="A23" s="229"/>
      <c r="B23" s="230"/>
      <c r="C23" s="230"/>
      <c r="D23" s="317"/>
      <c r="E23" s="231"/>
      <c r="F23" s="322"/>
      <c r="G23" s="323"/>
      <c r="H23" s="233"/>
      <c r="I23" s="324"/>
      <c r="J23" s="324"/>
      <c r="K23" s="324"/>
      <c r="L23" s="322"/>
      <c r="M23" s="323"/>
      <c r="N23" s="233"/>
      <c r="O23" s="324"/>
      <c r="P23" s="324"/>
      <c r="Q23" s="325"/>
      <c r="R23" s="322"/>
      <c r="S23" s="323"/>
      <c r="T23" s="233"/>
      <c r="U23" s="324"/>
      <c r="V23" s="324"/>
      <c r="W23" s="325"/>
      <c r="X23" s="324"/>
      <c r="Y23" s="323"/>
      <c r="Z23" s="233"/>
      <c r="AA23" s="324"/>
      <c r="AB23" s="324"/>
      <c r="AC23" s="324"/>
      <c r="AD23" s="322"/>
      <c r="AE23" s="323"/>
      <c r="AF23" s="233"/>
      <c r="AG23" s="324"/>
      <c r="AH23" s="324"/>
      <c r="AI23" s="325"/>
      <c r="AJ23" s="553">
        <f t="shared" si="21"/>
        <v>0</v>
      </c>
    </row>
    <row r="24" spans="1:36" hidden="1" outlineLevel="1" x14ac:dyDescent="0.3">
      <c r="A24" s="229"/>
      <c r="B24" s="230"/>
      <c r="C24" s="230" t="s">
        <v>50</v>
      </c>
      <c r="D24" s="317">
        <f t="shared" ref="D24:D31" si="22">LOOKUP(C24,$A$9:$A$12,$B$9:$B$12)</f>
        <v>0</v>
      </c>
      <c r="E24" s="231"/>
      <c r="F24" s="322">
        <f>IF(AND($E$8="DHHS",E24&gt;'Stipends &amp; Salary Caps'!$B$22),'Stipends &amp; Salary Caps'!$B$22,IF(AND($F$9="PCORI",E24&gt;'Stipends &amp; Salary Caps'!$B$23),'Stipends &amp; Salary Caps'!$B$23,E24))</f>
        <v>0</v>
      </c>
      <c r="G24" s="323">
        <f t="shared" si="12"/>
        <v>0</v>
      </c>
      <c r="H24" s="233"/>
      <c r="I24" s="324">
        <f t="shared" si="13"/>
        <v>0</v>
      </c>
      <c r="J24" s="324">
        <f t="shared" si="2"/>
        <v>0</v>
      </c>
      <c r="K24" s="324">
        <f t="shared" si="3"/>
        <v>0</v>
      </c>
      <c r="L24" s="322">
        <f t="shared" ref="L24:L42" si="23">F24</f>
        <v>0</v>
      </c>
      <c r="M24" s="323">
        <f t="shared" ref="M24:M42" si="24">12*N24</f>
        <v>0</v>
      </c>
      <c r="N24" s="233"/>
      <c r="O24" s="324">
        <f t="shared" ref="O24:O31" si="25">$E24*N24</f>
        <v>0</v>
      </c>
      <c r="P24" s="324">
        <f t="shared" si="4"/>
        <v>0</v>
      </c>
      <c r="Q24" s="325">
        <f t="shared" si="5"/>
        <v>0</v>
      </c>
      <c r="R24" s="322">
        <f t="shared" ref="R24:R42" si="26">L24</f>
        <v>0</v>
      </c>
      <c r="S24" s="323">
        <f t="shared" si="14"/>
        <v>0</v>
      </c>
      <c r="T24" s="233"/>
      <c r="U24" s="324">
        <f t="shared" si="15"/>
        <v>0</v>
      </c>
      <c r="V24" s="324">
        <f t="shared" si="6"/>
        <v>0</v>
      </c>
      <c r="W24" s="325">
        <f t="shared" si="7"/>
        <v>0</v>
      </c>
      <c r="X24" s="324">
        <f t="shared" ref="X24:X42" si="27">R24</f>
        <v>0</v>
      </c>
      <c r="Y24" s="323">
        <f t="shared" si="16"/>
        <v>0</v>
      </c>
      <c r="Z24" s="233"/>
      <c r="AA24" s="324">
        <f t="shared" si="17"/>
        <v>0</v>
      </c>
      <c r="AB24" s="324">
        <f t="shared" si="8"/>
        <v>0</v>
      </c>
      <c r="AC24" s="324">
        <f t="shared" si="9"/>
        <v>0</v>
      </c>
      <c r="AD24" s="322">
        <f t="shared" si="18"/>
        <v>0</v>
      </c>
      <c r="AE24" s="323">
        <f t="shared" si="19"/>
        <v>0</v>
      </c>
      <c r="AF24" s="233"/>
      <c r="AG24" s="324">
        <f t="shared" si="20"/>
        <v>0</v>
      </c>
      <c r="AH24" s="324">
        <f t="shared" si="10"/>
        <v>0</v>
      </c>
      <c r="AI24" s="325">
        <f t="shared" si="11"/>
        <v>0</v>
      </c>
      <c r="AJ24" s="553">
        <f t="shared" si="21"/>
        <v>0</v>
      </c>
    </row>
    <row r="25" spans="1:36" hidden="1" outlineLevel="1" x14ac:dyDescent="0.3">
      <c r="A25" s="229"/>
      <c r="B25" s="230"/>
      <c r="C25" s="230" t="s">
        <v>50</v>
      </c>
      <c r="D25" s="317">
        <f t="shared" si="22"/>
        <v>0</v>
      </c>
      <c r="E25" s="231"/>
      <c r="F25" s="322">
        <f>IF(AND($E$8="DHHS",E25&gt;'Stipends &amp; Salary Caps'!$B$22),'Stipends &amp; Salary Caps'!$B$22,IF(AND($F$9="PCORI",E25&gt;'Stipends &amp; Salary Caps'!$B$23),'Stipends &amp; Salary Caps'!$B$23,E25))</f>
        <v>0</v>
      </c>
      <c r="G25" s="323">
        <f t="shared" si="12"/>
        <v>0</v>
      </c>
      <c r="H25" s="233"/>
      <c r="I25" s="324">
        <f t="shared" si="13"/>
        <v>0</v>
      </c>
      <c r="J25" s="324">
        <f t="shared" si="2"/>
        <v>0</v>
      </c>
      <c r="K25" s="324">
        <f t="shared" si="3"/>
        <v>0</v>
      </c>
      <c r="L25" s="322">
        <f t="shared" si="23"/>
        <v>0</v>
      </c>
      <c r="M25" s="323">
        <f t="shared" si="24"/>
        <v>0</v>
      </c>
      <c r="N25" s="233"/>
      <c r="O25" s="324">
        <f t="shared" si="25"/>
        <v>0</v>
      </c>
      <c r="P25" s="324">
        <f t="shared" si="4"/>
        <v>0</v>
      </c>
      <c r="Q25" s="325">
        <f t="shared" si="5"/>
        <v>0</v>
      </c>
      <c r="R25" s="322">
        <f t="shared" si="26"/>
        <v>0</v>
      </c>
      <c r="S25" s="323">
        <f t="shared" si="14"/>
        <v>0</v>
      </c>
      <c r="T25" s="233"/>
      <c r="U25" s="324">
        <f t="shared" si="15"/>
        <v>0</v>
      </c>
      <c r="V25" s="324">
        <f t="shared" si="6"/>
        <v>0</v>
      </c>
      <c r="W25" s="325">
        <f t="shared" si="7"/>
        <v>0</v>
      </c>
      <c r="X25" s="324">
        <f t="shared" si="27"/>
        <v>0</v>
      </c>
      <c r="Y25" s="323">
        <f t="shared" si="16"/>
        <v>0</v>
      </c>
      <c r="Z25" s="233"/>
      <c r="AA25" s="324">
        <f t="shared" si="17"/>
        <v>0</v>
      </c>
      <c r="AB25" s="324">
        <f t="shared" si="8"/>
        <v>0</v>
      </c>
      <c r="AC25" s="324">
        <f t="shared" si="9"/>
        <v>0</v>
      </c>
      <c r="AD25" s="322">
        <f t="shared" si="18"/>
        <v>0</v>
      </c>
      <c r="AE25" s="323">
        <f t="shared" si="19"/>
        <v>0</v>
      </c>
      <c r="AF25" s="233"/>
      <c r="AG25" s="324">
        <f t="shared" si="20"/>
        <v>0</v>
      </c>
      <c r="AH25" s="324">
        <f t="shared" si="10"/>
        <v>0</v>
      </c>
      <c r="AI25" s="325">
        <f t="shared" si="11"/>
        <v>0</v>
      </c>
      <c r="AJ25" s="553">
        <f t="shared" si="21"/>
        <v>0</v>
      </c>
    </row>
    <row r="26" spans="1:36" hidden="1" outlineLevel="1" x14ac:dyDescent="0.3">
      <c r="A26" s="229"/>
      <c r="B26" s="230"/>
      <c r="C26" s="230" t="s">
        <v>50</v>
      </c>
      <c r="D26" s="317">
        <f t="shared" si="22"/>
        <v>0</v>
      </c>
      <c r="E26" s="231"/>
      <c r="F26" s="322">
        <f>IF(AND($E$8="DHHS",E26&gt;'Stipends &amp; Salary Caps'!$B$22),'Stipends &amp; Salary Caps'!$B$22,IF(AND($F$9="PCORI",E26&gt;'Stipends &amp; Salary Caps'!$B$23),'Stipends &amp; Salary Caps'!$B$23,E26))</f>
        <v>0</v>
      </c>
      <c r="G26" s="323">
        <f t="shared" si="12"/>
        <v>0</v>
      </c>
      <c r="H26" s="233"/>
      <c r="I26" s="324">
        <f t="shared" si="13"/>
        <v>0</v>
      </c>
      <c r="J26" s="324">
        <f t="shared" si="2"/>
        <v>0</v>
      </c>
      <c r="K26" s="324">
        <f t="shared" si="3"/>
        <v>0</v>
      </c>
      <c r="L26" s="322">
        <f t="shared" si="23"/>
        <v>0</v>
      </c>
      <c r="M26" s="323">
        <f t="shared" si="24"/>
        <v>0</v>
      </c>
      <c r="N26" s="233"/>
      <c r="O26" s="324">
        <f t="shared" si="25"/>
        <v>0</v>
      </c>
      <c r="P26" s="324">
        <f t="shared" si="4"/>
        <v>0</v>
      </c>
      <c r="Q26" s="325">
        <f t="shared" si="5"/>
        <v>0</v>
      </c>
      <c r="R26" s="322">
        <f t="shared" si="26"/>
        <v>0</v>
      </c>
      <c r="S26" s="323">
        <f t="shared" si="14"/>
        <v>0</v>
      </c>
      <c r="T26" s="233"/>
      <c r="U26" s="324">
        <f t="shared" si="15"/>
        <v>0</v>
      </c>
      <c r="V26" s="324">
        <f t="shared" si="6"/>
        <v>0</v>
      </c>
      <c r="W26" s="325">
        <f t="shared" si="7"/>
        <v>0</v>
      </c>
      <c r="X26" s="324">
        <f t="shared" si="27"/>
        <v>0</v>
      </c>
      <c r="Y26" s="323">
        <f t="shared" si="16"/>
        <v>0</v>
      </c>
      <c r="Z26" s="233"/>
      <c r="AA26" s="324">
        <f t="shared" si="17"/>
        <v>0</v>
      </c>
      <c r="AB26" s="324">
        <f t="shared" si="8"/>
        <v>0</v>
      </c>
      <c r="AC26" s="324">
        <f t="shared" si="9"/>
        <v>0</v>
      </c>
      <c r="AD26" s="322">
        <f t="shared" si="18"/>
        <v>0</v>
      </c>
      <c r="AE26" s="323">
        <f t="shared" si="19"/>
        <v>0</v>
      </c>
      <c r="AF26" s="233"/>
      <c r="AG26" s="324">
        <f t="shared" si="20"/>
        <v>0</v>
      </c>
      <c r="AH26" s="324">
        <f t="shared" si="10"/>
        <v>0</v>
      </c>
      <c r="AI26" s="325">
        <f t="shared" si="11"/>
        <v>0</v>
      </c>
      <c r="AJ26" s="553">
        <f t="shared" si="21"/>
        <v>0</v>
      </c>
    </row>
    <row r="27" spans="1:36" hidden="1" outlineLevel="1" x14ac:dyDescent="0.3">
      <c r="A27" s="229"/>
      <c r="B27" s="230"/>
      <c r="C27" s="230" t="s">
        <v>50</v>
      </c>
      <c r="D27" s="317">
        <f t="shared" si="22"/>
        <v>0</v>
      </c>
      <c r="E27" s="231"/>
      <c r="F27" s="322">
        <f>IF(AND($E$8="DHHS",E27&gt;'Stipends &amp; Salary Caps'!$B$22),'Stipends &amp; Salary Caps'!$B$22,IF(AND($F$9="PCORI",E27&gt;'Stipends &amp; Salary Caps'!$B$23),'Stipends &amp; Salary Caps'!$B$23,E27))</f>
        <v>0</v>
      </c>
      <c r="G27" s="323">
        <f t="shared" si="12"/>
        <v>0</v>
      </c>
      <c r="H27" s="233"/>
      <c r="I27" s="324">
        <f t="shared" si="13"/>
        <v>0</v>
      </c>
      <c r="J27" s="324">
        <f t="shared" si="2"/>
        <v>0</v>
      </c>
      <c r="K27" s="324">
        <f t="shared" si="3"/>
        <v>0</v>
      </c>
      <c r="L27" s="322">
        <f t="shared" si="23"/>
        <v>0</v>
      </c>
      <c r="M27" s="323">
        <f t="shared" si="24"/>
        <v>0</v>
      </c>
      <c r="N27" s="233"/>
      <c r="O27" s="324">
        <f t="shared" si="25"/>
        <v>0</v>
      </c>
      <c r="P27" s="324">
        <f t="shared" si="4"/>
        <v>0</v>
      </c>
      <c r="Q27" s="325">
        <f t="shared" si="5"/>
        <v>0</v>
      </c>
      <c r="R27" s="322">
        <f t="shared" si="26"/>
        <v>0</v>
      </c>
      <c r="S27" s="323">
        <f t="shared" si="14"/>
        <v>0</v>
      </c>
      <c r="T27" s="233"/>
      <c r="U27" s="324">
        <f t="shared" si="15"/>
        <v>0</v>
      </c>
      <c r="V27" s="324">
        <f t="shared" si="6"/>
        <v>0</v>
      </c>
      <c r="W27" s="325">
        <f t="shared" si="7"/>
        <v>0</v>
      </c>
      <c r="X27" s="324">
        <f t="shared" si="27"/>
        <v>0</v>
      </c>
      <c r="Y27" s="323">
        <f t="shared" si="16"/>
        <v>0</v>
      </c>
      <c r="Z27" s="233"/>
      <c r="AA27" s="324">
        <f t="shared" si="17"/>
        <v>0</v>
      </c>
      <c r="AB27" s="324">
        <f t="shared" si="8"/>
        <v>0</v>
      </c>
      <c r="AC27" s="324">
        <f t="shared" si="9"/>
        <v>0</v>
      </c>
      <c r="AD27" s="322">
        <f t="shared" si="18"/>
        <v>0</v>
      </c>
      <c r="AE27" s="323">
        <f t="shared" si="19"/>
        <v>0</v>
      </c>
      <c r="AF27" s="233"/>
      <c r="AG27" s="324">
        <f t="shared" si="20"/>
        <v>0</v>
      </c>
      <c r="AH27" s="324">
        <f t="shared" si="10"/>
        <v>0</v>
      </c>
      <c r="AI27" s="325">
        <f t="shared" si="11"/>
        <v>0</v>
      </c>
      <c r="AJ27" s="553">
        <f t="shared" si="21"/>
        <v>0</v>
      </c>
    </row>
    <row r="28" spans="1:36" hidden="1" outlineLevel="1" x14ac:dyDescent="0.3">
      <c r="A28" s="229"/>
      <c r="B28" s="230"/>
      <c r="C28" s="230" t="s">
        <v>50</v>
      </c>
      <c r="D28" s="317">
        <f t="shared" si="22"/>
        <v>0</v>
      </c>
      <c r="E28" s="231"/>
      <c r="F28" s="322">
        <f>IF(AND($E$8="DHHS",E28&gt;'Stipends &amp; Salary Caps'!$B$22),'Stipends &amp; Salary Caps'!$B$22,IF(AND($F$9="PCORI",E28&gt;'Stipends &amp; Salary Caps'!$B$23),'Stipends &amp; Salary Caps'!$B$23,E28))</f>
        <v>0</v>
      </c>
      <c r="G28" s="323">
        <f t="shared" si="12"/>
        <v>0</v>
      </c>
      <c r="H28" s="233"/>
      <c r="I28" s="324">
        <f t="shared" si="13"/>
        <v>0</v>
      </c>
      <c r="J28" s="324">
        <f t="shared" si="2"/>
        <v>0</v>
      </c>
      <c r="K28" s="324">
        <f t="shared" si="3"/>
        <v>0</v>
      </c>
      <c r="L28" s="322">
        <f t="shared" si="23"/>
        <v>0</v>
      </c>
      <c r="M28" s="323">
        <f t="shared" si="24"/>
        <v>0</v>
      </c>
      <c r="N28" s="233"/>
      <c r="O28" s="324">
        <f t="shared" si="25"/>
        <v>0</v>
      </c>
      <c r="P28" s="324">
        <f t="shared" si="4"/>
        <v>0</v>
      </c>
      <c r="Q28" s="325">
        <f t="shared" si="5"/>
        <v>0</v>
      </c>
      <c r="R28" s="322">
        <f t="shared" si="26"/>
        <v>0</v>
      </c>
      <c r="S28" s="323">
        <f t="shared" si="14"/>
        <v>0</v>
      </c>
      <c r="T28" s="233"/>
      <c r="U28" s="324">
        <f t="shared" si="15"/>
        <v>0</v>
      </c>
      <c r="V28" s="324">
        <f t="shared" si="6"/>
        <v>0</v>
      </c>
      <c r="W28" s="325">
        <f t="shared" si="7"/>
        <v>0</v>
      </c>
      <c r="X28" s="324">
        <f t="shared" si="27"/>
        <v>0</v>
      </c>
      <c r="Y28" s="323">
        <f t="shared" si="16"/>
        <v>0</v>
      </c>
      <c r="Z28" s="233"/>
      <c r="AA28" s="324">
        <f t="shared" si="17"/>
        <v>0</v>
      </c>
      <c r="AB28" s="324">
        <f t="shared" si="8"/>
        <v>0</v>
      </c>
      <c r="AC28" s="324">
        <f t="shared" si="9"/>
        <v>0</v>
      </c>
      <c r="AD28" s="322">
        <f t="shared" si="18"/>
        <v>0</v>
      </c>
      <c r="AE28" s="323">
        <f t="shared" si="19"/>
        <v>0</v>
      </c>
      <c r="AF28" s="233"/>
      <c r="AG28" s="324">
        <f t="shared" si="20"/>
        <v>0</v>
      </c>
      <c r="AH28" s="324">
        <f t="shared" si="10"/>
        <v>0</v>
      </c>
      <c r="AI28" s="325">
        <f t="shared" si="11"/>
        <v>0</v>
      </c>
      <c r="AJ28" s="553">
        <f t="shared" si="21"/>
        <v>0</v>
      </c>
    </row>
    <row r="29" spans="1:36" hidden="1" outlineLevel="1" x14ac:dyDescent="0.3">
      <c r="A29" s="229"/>
      <c r="B29" s="230"/>
      <c r="C29" s="230" t="s">
        <v>50</v>
      </c>
      <c r="D29" s="317">
        <f t="shared" si="22"/>
        <v>0</v>
      </c>
      <c r="E29" s="231"/>
      <c r="F29" s="322">
        <f>IF(AND($E$8="DHHS",E29&gt;'Stipends &amp; Salary Caps'!$B$22),'Stipends &amp; Salary Caps'!$B$22,IF(AND($F$9="PCORI",E29&gt;'Stipends &amp; Salary Caps'!$B$23),'Stipends &amp; Salary Caps'!$B$23,E29))</f>
        <v>0</v>
      </c>
      <c r="G29" s="323">
        <f t="shared" si="12"/>
        <v>0</v>
      </c>
      <c r="H29" s="233"/>
      <c r="I29" s="324">
        <f t="shared" si="13"/>
        <v>0</v>
      </c>
      <c r="J29" s="324">
        <f t="shared" si="2"/>
        <v>0</v>
      </c>
      <c r="K29" s="324">
        <f t="shared" si="3"/>
        <v>0</v>
      </c>
      <c r="L29" s="322">
        <f t="shared" si="23"/>
        <v>0</v>
      </c>
      <c r="M29" s="323">
        <f t="shared" si="24"/>
        <v>0</v>
      </c>
      <c r="N29" s="233"/>
      <c r="O29" s="324">
        <f t="shared" si="25"/>
        <v>0</v>
      </c>
      <c r="P29" s="324">
        <f t="shared" si="4"/>
        <v>0</v>
      </c>
      <c r="Q29" s="325">
        <f t="shared" si="5"/>
        <v>0</v>
      </c>
      <c r="R29" s="322">
        <f t="shared" si="26"/>
        <v>0</v>
      </c>
      <c r="S29" s="323">
        <f t="shared" si="14"/>
        <v>0</v>
      </c>
      <c r="T29" s="233"/>
      <c r="U29" s="324">
        <f t="shared" si="15"/>
        <v>0</v>
      </c>
      <c r="V29" s="324">
        <f t="shared" si="6"/>
        <v>0</v>
      </c>
      <c r="W29" s="325">
        <f t="shared" si="7"/>
        <v>0</v>
      </c>
      <c r="X29" s="324">
        <f t="shared" si="27"/>
        <v>0</v>
      </c>
      <c r="Y29" s="323">
        <f t="shared" si="16"/>
        <v>0</v>
      </c>
      <c r="Z29" s="233"/>
      <c r="AA29" s="324">
        <f t="shared" si="17"/>
        <v>0</v>
      </c>
      <c r="AB29" s="324">
        <f t="shared" si="8"/>
        <v>0</v>
      </c>
      <c r="AC29" s="324">
        <f t="shared" si="9"/>
        <v>0</v>
      </c>
      <c r="AD29" s="322">
        <f t="shared" si="18"/>
        <v>0</v>
      </c>
      <c r="AE29" s="323">
        <f t="shared" si="19"/>
        <v>0</v>
      </c>
      <c r="AF29" s="233"/>
      <c r="AG29" s="324">
        <f t="shared" si="20"/>
        <v>0</v>
      </c>
      <c r="AH29" s="324">
        <f t="shared" si="10"/>
        <v>0</v>
      </c>
      <c r="AI29" s="325">
        <f t="shared" si="11"/>
        <v>0</v>
      </c>
      <c r="AJ29" s="553">
        <f t="shared" si="21"/>
        <v>0</v>
      </c>
    </row>
    <row r="30" spans="1:36" hidden="1" outlineLevel="1" x14ac:dyDescent="0.3">
      <c r="A30" s="229"/>
      <c r="B30" s="230"/>
      <c r="C30" s="230" t="s">
        <v>50</v>
      </c>
      <c r="D30" s="317">
        <f t="shared" si="22"/>
        <v>0</v>
      </c>
      <c r="E30" s="231"/>
      <c r="F30" s="322">
        <f>IF(AND($E$8="DHHS",E30&gt;'Stipends &amp; Salary Caps'!$B$22),'Stipends &amp; Salary Caps'!$B$22,IF(AND($F$9="PCORI",E30&gt;'Stipends &amp; Salary Caps'!$B$23),'Stipends &amp; Salary Caps'!$B$23,E30))</f>
        <v>0</v>
      </c>
      <c r="G30" s="323">
        <f t="shared" si="12"/>
        <v>0</v>
      </c>
      <c r="H30" s="233"/>
      <c r="I30" s="324">
        <f t="shared" si="13"/>
        <v>0</v>
      </c>
      <c r="J30" s="324">
        <f t="shared" si="2"/>
        <v>0</v>
      </c>
      <c r="K30" s="324">
        <f t="shared" si="3"/>
        <v>0</v>
      </c>
      <c r="L30" s="322">
        <f t="shared" si="23"/>
        <v>0</v>
      </c>
      <c r="M30" s="323">
        <f t="shared" si="24"/>
        <v>0</v>
      </c>
      <c r="N30" s="233"/>
      <c r="O30" s="324">
        <f t="shared" si="25"/>
        <v>0</v>
      </c>
      <c r="P30" s="324">
        <f t="shared" si="4"/>
        <v>0</v>
      </c>
      <c r="Q30" s="325">
        <f t="shared" si="5"/>
        <v>0</v>
      </c>
      <c r="R30" s="322">
        <f t="shared" si="26"/>
        <v>0</v>
      </c>
      <c r="S30" s="323">
        <f t="shared" si="14"/>
        <v>0</v>
      </c>
      <c r="T30" s="233"/>
      <c r="U30" s="324">
        <f t="shared" si="15"/>
        <v>0</v>
      </c>
      <c r="V30" s="324">
        <f t="shared" si="6"/>
        <v>0</v>
      </c>
      <c r="W30" s="325">
        <f t="shared" si="7"/>
        <v>0</v>
      </c>
      <c r="X30" s="324">
        <f t="shared" si="27"/>
        <v>0</v>
      </c>
      <c r="Y30" s="323">
        <f t="shared" si="16"/>
        <v>0</v>
      </c>
      <c r="Z30" s="233"/>
      <c r="AA30" s="324">
        <f t="shared" si="17"/>
        <v>0</v>
      </c>
      <c r="AB30" s="324">
        <f t="shared" si="8"/>
        <v>0</v>
      </c>
      <c r="AC30" s="324">
        <f t="shared" si="9"/>
        <v>0</v>
      </c>
      <c r="AD30" s="322">
        <f t="shared" si="18"/>
        <v>0</v>
      </c>
      <c r="AE30" s="323">
        <f t="shared" si="19"/>
        <v>0</v>
      </c>
      <c r="AF30" s="233"/>
      <c r="AG30" s="324">
        <f t="shared" si="20"/>
        <v>0</v>
      </c>
      <c r="AH30" s="324">
        <f t="shared" si="10"/>
        <v>0</v>
      </c>
      <c r="AI30" s="325">
        <f t="shared" si="11"/>
        <v>0</v>
      </c>
      <c r="AJ30" s="553">
        <f t="shared" si="21"/>
        <v>0</v>
      </c>
    </row>
    <row r="31" spans="1:36" hidden="1" outlineLevel="1" x14ac:dyDescent="0.3">
      <c r="A31" s="229"/>
      <c r="B31" s="230"/>
      <c r="C31" s="230" t="s">
        <v>50</v>
      </c>
      <c r="D31" s="317">
        <f t="shared" si="22"/>
        <v>0</v>
      </c>
      <c r="E31" s="231"/>
      <c r="F31" s="322">
        <f>IF(AND($E$8="DHHS",E31&gt;'Stipends &amp; Salary Caps'!$B$22),'Stipends &amp; Salary Caps'!$B$22,IF(AND($F$9="PCORI",E31&gt;'Stipends &amp; Salary Caps'!$B$23),'Stipends &amp; Salary Caps'!$B$23,E31))</f>
        <v>0</v>
      </c>
      <c r="G31" s="323">
        <f t="shared" si="12"/>
        <v>0</v>
      </c>
      <c r="H31" s="233"/>
      <c r="I31" s="324">
        <f t="shared" si="13"/>
        <v>0</v>
      </c>
      <c r="J31" s="324">
        <f t="shared" si="2"/>
        <v>0</v>
      </c>
      <c r="K31" s="324">
        <f t="shared" si="3"/>
        <v>0</v>
      </c>
      <c r="L31" s="322">
        <f t="shared" si="23"/>
        <v>0</v>
      </c>
      <c r="M31" s="323">
        <f t="shared" si="24"/>
        <v>0</v>
      </c>
      <c r="N31" s="233"/>
      <c r="O31" s="324">
        <f t="shared" si="25"/>
        <v>0</v>
      </c>
      <c r="P31" s="324">
        <f t="shared" si="4"/>
        <v>0</v>
      </c>
      <c r="Q31" s="325">
        <f t="shared" si="5"/>
        <v>0</v>
      </c>
      <c r="R31" s="322">
        <f t="shared" si="26"/>
        <v>0</v>
      </c>
      <c r="S31" s="323">
        <f t="shared" si="14"/>
        <v>0</v>
      </c>
      <c r="T31" s="233"/>
      <c r="U31" s="324">
        <f t="shared" si="15"/>
        <v>0</v>
      </c>
      <c r="V31" s="324">
        <f t="shared" si="6"/>
        <v>0</v>
      </c>
      <c r="W31" s="325">
        <f t="shared" si="7"/>
        <v>0</v>
      </c>
      <c r="X31" s="324">
        <f t="shared" si="27"/>
        <v>0</v>
      </c>
      <c r="Y31" s="323">
        <f t="shared" si="16"/>
        <v>0</v>
      </c>
      <c r="Z31" s="233"/>
      <c r="AA31" s="324">
        <f t="shared" si="17"/>
        <v>0</v>
      </c>
      <c r="AB31" s="324">
        <f t="shared" si="8"/>
        <v>0</v>
      </c>
      <c r="AC31" s="324">
        <f t="shared" si="9"/>
        <v>0</v>
      </c>
      <c r="AD31" s="322">
        <f t="shared" si="18"/>
        <v>0</v>
      </c>
      <c r="AE31" s="323">
        <f t="shared" si="19"/>
        <v>0</v>
      </c>
      <c r="AF31" s="233"/>
      <c r="AG31" s="324">
        <f t="shared" si="20"/>
        <v>0</v>
      </c>
      <c r="AH31" s="324">
        <f t="shared" si="10"/>
        <v>0</v>
      </c>
      <c r="AI31" s="325">
        <f t="shared" si="11"/>
        <v>0</v>
      </c>
      <c r="AJ31" s="553">
        <f t="shared" si="21"/>
        <v>0</v>
      </c>
    </row>
    <row r="32" spans="1:36" outlineLevel="1" x14ac:dyDescent="0.3">
      <c r="A32" s="14" t="s">
        <v>93</v>
      </c>
      <c r="B32" s="17"/>
      <c r="C32" s="1"/>
      <c r="D32" s="21"/>
      <c r="E32" s="2"/>
      <c r="F32" s="74"/>
      <c r="H32" s="25"/>
      <c r="I32" s="2"/>
      <c r="J32" s="2"/>
      <c r="K32" s="2"/>
      <c r="L32" s="74"/>
      <c r="N32" s="25"/>
      <c r="O32" s="2"/>
      <c r="P32" s="2"/>
      <c r="Q32" s="3"/>
      <c r="R32" s="74"/>
      <c r="T32" s="25"/>
      <c r="U32" s="2"/>
      <c r="V32" s="2"/>
      <c r="W32" s="3"/>
      <c r="X32" s="2"/>
      <c r="Z32" s="25"/>
      <c r="AA32" s="2"/>
      <c r="AB32" s="2"/>
      <c r="AC32" s="2"/>
      <c r="AD32" s="74"/>
      <c r="AF32" s="25"/>
      <c r="AG32" s="2"/>
      <c r="AH32" s="2"/>
      <c r="AI32" s="3"/>
      <c r="AJ32" s="553">
        <f t="shared" si="21"/>
        <v>0</v>
      </c>
    </row>
    <row r="33" spans="1:37" outlineLevel="1" x14ac:dyDescent="0.3">
      <c r="A33" s="229" t="s">
        <v>214</v>
      </c>
      <c r="B33" s="230"/>
      <c r="C33" s="230" t="s">
        <v>58</v>
      </c>
      <c r="D33" s="317">
        <v>0.30399999999999999</v>
      </c>
      <c r="E33" s="232">
        <v>80000</v>
      </c>
      <c r="F33" s="322">
        <v>0</v>
      </c>
      <c r="G33" s="323">
        <f t="shared" si="12"/>
        <v>0</v>
      </c>
      <c r="H33" s="233">
        <v>0</v>
      </c>
      <c r="I33" s="324">
        <f t="shared" ref="I33:I42" si="28">$E33*H33</f>
        <v>0</v>
      </c>
      <c r="J33" s="324">
        <f>I33*D33</f>
        <v>0</v>
      </c>
      <c r="K33" s="324">
        <f t="shared" ref="K33:K42" si="29">I33+J33</f>
        <v>0</v>
      </c>
      <c r="L33" s="322">
        <f>F33*1.02</f>
        <v>0</v>
      </c>
      <c r="M33" s="323">
        <f t="shared" si="24"/>
        <v>0</v>
      </c>
      <c r="N33" s="233">
        <v>0</v>
      </c>
      <c r="O33" s="324">
        <f>N33*L33</f>
        <v>0</v>
      </c>
      <c r="P33" s="324">
        <f>O33*D33</f>
        <v>0</v>
      </c>
      <c r="Q33" s="325">
        <f>O33+P33</f>
        <v>0</v>
      </c>
      <c r="R33" s="322">
        <v>80000</v>
      </c>
      <c r="S33" s="323">
        <f t="shared" ref="S33" si="30">12*T33</f>
        <v>12</v>
      </c>
      <c r="T33" s="233">
        <v>1</v>
      </c>
      <c r="U33" s="324">
        <f>$R33*T33</f>
        <v>80000</v>
      </c>
      <c r="V33" s="324">
        <f>U33*D33</f>
        <v>24320</v>
      </c>
      <c r="W33" s="325">
        <f>U33+V33</f>
        <v>104320</v>
      </c>
      <c r="X33" s="324">
        <f>R33*1.02</f>
        <v>81600</v>
      </c>
      <c r="Y33" s="323">
        <f t="shared" ref="Y33" si="31">12*Z33</f>
        <v>12</v>
      </c>
      <c r="Z33" s="233">
        <v>1</v>
      </c>
      <c r="AA33" s="324">
        <f>$X33*Z33</f>
        <v>81600</v>
      </c>
      <c r="AB33" s="324">
        <f>AA33*D33</f>
        <v>24806.399999999998</v>
      </c>
      <c r="AC33" s="324">
        <f>AA33+AB33</f>
        <v>106406.39999999999</v>
      </c>
      <c r="AD33" s="322">
        <f t="shared" si="18"/>
        <v>81600</v>
      </c>
      <c r="AE33" s="323">
        <f t="shared" si="19"/>
        <v>0</v>
      </c>
      <c r="AF33" s="233"/>
      <c r="AG33" s="324">
        <f t="shared" ref="AG33:AG42" si="32">$E33*AF33</f>
        <v>0</v>
      </c>
      <c r="AH33" s="324">
        <f t="shared" ref="AH33:AH42" si="33">AG33*D33</f>
        <v>0</v>
      </c>
      <c r="AI33" s="325">
        <f t="shared" ref="AI33:AI42" si="34">AG33+AH33</f>
        <v>0</v>
      </c>
      <c r="AJ33" s="553">
        <f>K33+Q33+W33+AC33+AI33</f>
        <v>210726.39999999999</v>
      </c>
    </row>
    <row r="34" spans="1:37" outlineLevel="1" x14ac:dyDescent="0.3">
      <c r="A34" s="229" t="s">
        <v>215</v>
      </c>
      <c r="B34" s="230"/>
      <c r="C34" s="230" t="s">
        <v>58</v>
      </c>
      <c r="D34" s="317">
        <v>0.30399999999999999</v>
      </c>
      <c r="E34" s="231">
        <v>48000</v>
      </c>
      <c r="F34" s="322">
        <f t="shared" ref="F34:F42" si="35">IF(E34&gt;187000,187000,E34)</f>
        <v>48000</v>
      </c>
      <c r="G34" s="323">
        <f t="shared" si="12"/>
        <v>3</v>
      </c>
      <c r="H34" s="233">
        <v>0.25</v>
      </c>
      <c r="I34" s="324">
        <f t="shared" si="28"/>
        <v>12000</v>
      </c>
      <c r="J34" s="324">
        <f>I34*D34</f>
        <v>3648</v>
      </c>
      <c r="K34" s="324">
        <f>I34+J34</f>
        <v>15648</v>
      </c>
      <c r="L34" s="322">
        <f>F34*1.02</f>
        <v>48960</v>
      </c>
      <c r="M34" s="323">
        <f t="shared" si="24"/>
        <v>3</v>
      </c>
      <c r="N34" s="233">
        <v>0.25</v>
      </c>
      <c r="O34" s="324">
        <f>$L34*N34</f>
        <v>12240</v>
      </c>
      <c r="P34" s="324">
        <f t="shared" si="4"/>
        <v>3720.96</v>
      </c>
      <c r="Q34" s="325">
        <f>O34+P34</f>
        <v>15960.96</v>
      </c>
      <c r="R34" s="322">
        <f>L34*1.02</f>
        <v>49939.200000000004</v>
      </c>
      <c r="S34" s="323">
        <f t="shared" si="14"/>
        <v>3</v>
      </c>
      <c r="T34" s="233">
        <v>0.25</v>
      </c>
      <c r="U34" s="324">
        <f>T34*R34</f>
        <v>12484.800000000001</v>
      </c>
      <c r="V34" s="324">
        <f>U34*D34</f>
        <v>3795.3792000000003</v>
      </c>
      <c r="W34" s="325">
        <f>U34+V34</f>
        <v>16280.179200000002</v>
      </c>
      <c r="X34" s="324">
        <f>R34*1.02</f>
        <v>50937.984000000004</v>
      </c>
      <c r="Y34" s="323">
        <f t="shared" si="16"/>
        <v>3</v>
      </c>
      <c r="Z34" s="233">
        <v>0.25</v>
      </c>
      <c r="AA34" s="324">
        <f>$X34*Z34</f>
        <v>12734.496000000001</v>
      </c>
      <c r="AB34" s="324">
        <f t="shared" si="8"/>
        <v>3871.2867840000004</v>
      </c>
      <c r="AC34" s="324">
        <f>AA34+AB34</f>
        <v>16605.782784000003</v>
      </c>
      <c r="AD34" s="322">
        <f>X34*1.02</f>
        <v>51956.743680000007</v>
      </c>
      <c r="AE34" s="323">
        <f t="shared" si="19"/>
        <v>0</v>
      </c>
      <c r="AF34" s="233"/>
      <c r="AG34" s="324">
        <f t="shared" si="32"/>
        <v>0</v>
      </c>
      <c r="AH34" s="324">
        <f t="shared" si="33"/>
        <v>0</v>
      </c>
      <c r="AI34" s="325">
        <f t="shared" si="34"/>
        <v>0</v>
      </c>
      <c r="AJ34" s="553">
        <f t="shared" si="21"/>
        <v>64494.921984000008</v>
      </c>
    </row>
    <row r="35" spans="1:37" hidden="1" outlineLevel="1" x14ac:dyDescent="0.3">
      <c r="A35" s="229"/>
      <c r="B35" s="230"/>
      <c r="C35" s="230"/>
      <c r="D35" s="317"/>
      <c r="E35" s="231"/>
      <c r="F35" s="322"/>
      <c r="G35" s="323"/>
      <c r="H35" s="233"/>
      <c r="I35" s="324"/>
      <c r="J35" s="324"/>
      <c r="K35" s="324"/>
      <c r="L35" s="322"/>
      <c r="M35" s="323"/>
      <c r="N35" s="233"/>
      <c r="O35" s="324"/>
      <c r="P35" s="324"/>
      <c r="Q35" s="325"/>
      <c r="R35" s="322"/>
      <c r="S35" s="323"/>
      <c r="T35" s="233"/>
      <c r="U35" s="324"/>
      <c r="V35" s="324"/>
      <c r="W35" s="325"/>
      <c r="X35" s="324"/>
      <c r="Y35" s="323"/>
      <c r="Z35" s="233"/>
      <c r="AA35" s="324"/>
      <c r="AB35" s="324"/>
      <c r="AC35" s="324"/>
      <c r="AD35" s="322"/>
      <c r="AE35" s="323"/>
      <c r="AF35" s="233"/>
      <c r="AG35" s="324"/>
      <c r="AH35" s="324"/>
      <c r="AI35" s="325"/>
      <c r="AJ35" s="553">
        <f t="shared" si="21"/>
        <v>0</v>
      </c>
    </row>
    <row r="36" spans="1:37" hidden="1" outlineLevel="1" x14ac:dyDescent="0.3">
      <c r="A36" s="229"/>
      <c r="B36" s="230"/>
      <c r="C36" s="230" t="s">
        <v>58</v>
      </c>
      <c r="D36" s="317">
        <f t="shared" ref="D36:D42" si="36">LOOKUP(C36,$A$9:$A$12,$B$9:$B$12)</f>
        <v>0</v>
      </c>
      <c r="E36" s="231"/>
      <c r="F36" s="322">
        <f t="shared" si="35"/>
        <v>0</v>
      </c>
      <c r="G36" s="323">
        <f t="shared" si="12"/>
        <v>0</v>
      </c>
      <c r="H36" s="233"/>
      <c r="I36" s="324">
        <f t="shared" si="28"/>
        <v>0</v>
      </c>
      <c r="J36" s="324">
        <f t="shared" ref="J36:J42" si="37">I36*D36</f>
        <v>0</v>
      </c>
      <c r="K36" s="324">
        <f t="shared" si="29"/>
        <v>0</v>
      </c>
      <c r="L36" s="322">
        <f t="shared" si="23"/>
        <v>0</v>
      </c>
      <c r="M36" s="323">
        <f t="shared" si="24"/>
        <v>0</v>
      </c>
      <c r="N36" s="233"/>
      <c r="O36" s="324">
        <f t="shared" ref="O36:O42" si="38">$E36*N36</f>
        <v>0</v>
      </c>
      <c r="P36" s="324">
        <f t="shared" ref="P36:P42" si="39">O36*D36</f>
        <v>0</v>
      </c>
      <c r="Q36" s="325">
        <f t="shared" ref="Q36:Q42" si="40">O36+P36</f>
        <v>0</v>
      </c>
      <c r="R36" s="322">
        <f t="shared" si="26"/>
        <v>0</v>
      </c>
      <c r="S36" s="323">
        <f t="shared" si="14"/>
        <v>0</v>
      </c>
      <c r="T36" s="233"/>
      <c r="U36" s="324">
        <f t="shared" ref="U36:U42" si="41">$E36*T36</f>
        <v>0</v>
      </c>
      <c r="V36" s="324">
        <f t="shared" ref="V36:V42" si="42">U36*D36</f>
        <v>0</v>
      </c>
      <c r="W36" s="325">
        <f t="shared" ref="W36:W42" si="43">U36+V36</f>
        <v>0</v>
      </c>
      <c r="X36" s="324">
        <f t="shared" si="27"/>
        <v>0</v>
      </c>
      <c r="Y36" s="323">
        <f t="shared" si="16"/>
        <v>0</v>
      </c>
      <c r="Z36" s="233"/>
      <c r="AA36" s="324">
        <f t="shared" ref="AA36:AA42" si="44">$E36*Z36</f>
        <v>0</v>
      </c>
      <c r="AB36" s="324">
        <f t="shared" ref="AB36:AB42" si="45">AA36*D36</f>
        <v>0</v>
      </c>
      <c r="AC36" s="324">
        <f t="shared" ref="AC36:AC42" si="46">AA36+AB36</f>
        <v>0</v>
      </c>
      <c r="AD36" s="322">
        <f t="shared" si="18"/>
        <v>0</v>
      </c>
      <c r="AE36" s="323">
        <f t="shared" si="19"/>
        <v>0</v>
      </c>
      <c r="AF36" s="233"/>
      <c r="AG36" s="324">
        <f t="shared" si="32"/>
        <v>0</v>
      </c>
      <c r="AH36" s="324">
        <f t="shared" si="33"/>
        <v>0</v>
      </c>
      <c r="AI36" s="325">
        <f t="shared" si="34"/>
        <v>0</v>
      </c>
      <c r="AJ36" s="553">
        <f t="shared" si="21"/>
        <v>0</v>
      </c>
    </row>
    <row r="37" spans="1:37" hidden="1" outlineLevel="1" x14ac:dyDescent="0.3">
      <c r="A37" s="229"/>
      <c r="B37" s="230"/>
      <c r="C37" s="230" t="s">
        <v>58</v>
      </c>
      <c r="D37" s="317">
        <f t="shared" si="36"/>
        <v>0</v>
      </c>
      <c r="E37" s="231"/>
      <c r="F37" s="322">
        <f t="shared" si="35"/>
        <v>0</v>
      </c>
      <c r="G37" s="323">
        <f t="shared" si="12"/>
        <v>0</v>
      </c>
      <c r="H37" s="233"/>
      <c r="I37" s="324">
        <f t="shared" si="28"/>
        <v>0</v>
      </c>
      <c r="J37" s="324">
        <f t="shared" si="37"/>
        <v>0</v>
      </c>
      <c r="K37" s="324">
        <f t="shared" si="29"/>
        <v>0</v>
      </c>
      <c r="L37" s="322">
        <f t="shared" si="23"/>
        <v>0</v>
      </c>
      <c r="M37" s="323">
        <f t="shared" si="24"/>
        <v>0</v>
      </c>
      <c r="N37" s="233"/>
      <c r="O37" s="324">
        <f t="shared" si="38"/>
        <v>0</v>
      </c>
      <c r="P37" s="324">
        <f t="shared" si="39"/>
        <v>0</v>
      </c>
      <c r="Q37" s="325">
        <f t="shared" si="40"/>
        <v>0</v>
      </c>
      <c r="R37" s="322">
        <f t="shared" si="26"/>
        <v>0</v>
      </c>
      <c r="S37" s="323">
        <f t="shared" si="14"/>
        <v>0</v>
      </c>
      <c r="T37" s="233"/>
      <c r="U37" s="324">
        <f t="shared" si="41"/>
        <v>0</v>
      </c>
      <c r="V37" s="324">
        <f t="shared" si="42"/>
        <v>0</v>
      </c>
      <c r="W37" s="325">
        <f t="shared" si="43"/>
        <v>0</v>
      </c>
      <c r="X37" s="324">
        <f t="shared" si="27"/>
        <v>0</v>
      </c>
      <c r="Y37" s="323">
        <f t="shared" si="16"/>
        <v>0</v>
      </c>
      <c r="Z37" s="233"/>
      <c r="AA37" s="324">
        <f t="shared" si="44"/>
        <v>0</v>
      </c>
      <c r="AB37" s="324">
        <f t="shared" si="45"/>
        <v>0</v>
      </c>
      <c r="AC37" s="324">
        <f t="shared" si="46"/>
        <v>0</v>
      </c>
      <c r="AD37" s="322">
        <f t="shared" si="18"/>
        <v>0</v>
      </c>
      <c r="AE37" s="323">
        <f t="shared" si="19"/>
        <v>0</v>
      </c>
      <c r="AF37" s="233"/>
      <c r="AG37" s="324">
        <f t="shared" si="32"/>
        <v>0</v>
      </c>
      <c r="AH37" s="324">
        <f t="shared" si="33"/>
        <v>0</v>
      </c>
      <c r="AI37" s="325">
        <f t="shared" si="34"/>
        <v>0</v>
      </c>
      <c r="AJ37" s="553">
        <f t="shared" si="21"/>
        <v>0</v>
      </c>
    </row>
    <row r="38" spans="1:37" hidden="1" outlineLevel="1" x14ac:dyDescent="0.3">
      <c r="A38" s="229"/>
      <c r="B38" s="230"/>
      <c r="C38" s="230" t="s">
        <v>58</v>
      </c>
      <c r="D38" s="317">
        <f t="shared" si="36"/>
        <v>0</v>
      </c>
      <c r="E38" s="231"/>
      <c r="F38" s="322">
        <f t="shared" si="35"/>
        <v>0</v>
      </c>
      <c r="G38" s="323">
        <f t="shared" si="12"/>
        <v>0</v>
      </c>
      <c r="H38" s="233"/>
      <c r="I38" s="324">
        <f t="shared" si="28"/>
        <v>0</v>
      </c>
      <c r="J38" s="324">
        <f t="shared" si="37"/>
        <v>0</v>
      </c>
      <c r="K38" s="324">
        <f t="shared" si="29"/>
        <v>0</v>
      </c>
      <c r="L38" s="322">
        <f t="shared" si="23"/>
        <v>0</v>
      </c>
      <c r="M38" s="323">
        <f t="shared" si="24"/>
        <v>0</v>
      </c>
      <c r="N38" s="233"/>
      <c r="O38" s="324">
        <f t="shared" si="38"/>
        <v>0</v>
      </c>
      <c r="P38" s="324">
        <f t="shared" si="39"/>
        <v>0</v>
      </c>
      <c r="Q38" s="325">
        <f t="shared" si="40"/>
        <v>0</v>
      </c>
      <c r="R38" s="322">
        <f t="shared" si="26"/>
        <v>0</v>
      </c>
      <c r="S38" s="323">
        <f t="shared" si="14"/>
        <v>0</v>
      </c>
      <c r="T38" s="233"/>
      <c r="U38" s="324">
        <f t="shared" si="41"/>
        <v>0</v>
      </c>
      <c r="V38" s="324">
        <f t="shared" si="42"/>
        <v>0</v>
      </c>
      <c r="W38" s="325">
        <f t="shared" si="43"/>
        <v>0</v>
      </c>
      <c r="X38" s="324">
        <f t="shared" si="27"/>
        <v>0</v>
      </c>
      <c r="Y38" s="323">
        <f t="shared" si="16"/>
        <v>0</v>
      </c>
      <c r="Z38" s="233"/>
      <c r="AA38" s="324">
        <f t="shared" si="44"/>
        <v>0</v>
      </c>
      <c r="AB38" s="324">
        <f t="shared" si="45"/>
        <v>0</v>
      </c>
      <c r="AC38" s="324">
        <f t="shared" si="46"/>
        <v>0</v>
      </c>
      <c r="AD38" s="322">
        <f t="shared" si="18"/>
        <v>0</v>
      </c>
      <c r="AE38" s="323">
        <f t="shared" si="19"/>
        <v>0</v>
      </c>
      <c r="AF38" s="233"/>
      <c r="AG38" s="324">
        <f t="shared" si="32"/>
        <v>0</v>
      </c>
      <c r="AH38" s="324">
        <f t="shared" si="33"/>
        <v>0</v>
      </c>
      <c r="AI38" s="325">
        <f t="shared" si="34"/>
        <v>0</v>
      </c>
      <c r="AJ38" s="553">
        <f t="shared" si="21"/>
        <v>0</v>
      </c>
    </row>
    <row r="39" spans="1:37" hidden="1" outlineLevel="1" x14ac:dyDescent="0.3">
      <c r="A39" s="229"/>
      <c r="B39" s="230"/>
      <c r="C39" s="230" t="s">
        <v>58</v>
      </c>
      <c r="D39" s="317">
        <f t="shared" si="36"/>
        <v>0</v>
      </c>
      <c r="E39" s="231"/>
      <c r="F39" s="322">
        <f t="shared" si="35"/>
        <v>0</v>
      </c>
      <c r="G39" s="323">
        <f t="shared" si="12"/>
        <v>0</v>
      </c>
      <c r="H39" s="233"/>
      <c r="I39" s="324">
        <f t="shared" si="28"/>
        <v>0</v>
      </c>
      <c r="J39" s="324">
        <f t="shared" si="37"/>
        <v>0</v>
      </c>
      <c r="K39" s="324">
        <f t="shared" si="29"/>
        <v>0</v>
      </c>
      <c r="L39" s="322">
        <f t="shared" si="23"/>
        <v>0</v>
      </c>
      <c r="M39" s="323">
        <f t="shared" si="24"/>
        <v>0</v>
      </c>
      <c r="N39" s="233"/>
      <c r="O39" s="324">
        <f t="shared" si="38"/>
        <v>0</v>
      </c>
      <c r="P39" s="324">
        <f t="shared" si="39"/>
        <v>0</v>
      </c>
      <c r="Q39" s="325">
        <f t="shared" si="40"/>
        <v>0</v>
      </c>
      <c r="R39" s="322">
        <f t="shared" si="26"/>
        <v>0</v>
      </c>
      <c r="S39" s="323">
        <f t="shared" si="14"/>
        <v>0</v>
      </c>
      <c r="T39" s="233"/>
      <c r="U39" s="324">
        <f t="shared" si="41"/>
        <v>0</v>
      </c>
      <c r="V39" s="324">
        <f t="shared" si="42"/>
        <v>0</v>
      </c>
      <c r="W39" s="325">
        <f t="shared" si="43"/>
        <v>0</v>
      </c>
      <c r="X39" s="324">
        <f t="shared" si="27"/>
        <v>0</v>
      </c>
      <c r="Y39" s="323">
        <f t="shared" si="16"/>
        <v>0</v>
      </c>
      <c r="Z39" s="233"/>
      <c r="AA39" s="324">
        <f t="shared" si="44"/>
        <v>0</v>
      </c>
      <c r="AB39" s="324">
        <f t="shared" si="45"/>
        <v>0</v>
      </c>
      <c r="AC39" s="324">
        <f t="shared" si="46"/>
        <v>0</v>
      </c>
      <c r="AD39" s="322">
        <f t="shared" si="18"/>
        <v>0</v>
      </c>
      <c r="AE39" s="323">
        <f t="shared" si="19"/>
        <v>0</v>
      </c>
      <c r="AF39" s="233"/>
      <c r="AG39" s="324">
        <f t="shared" si="32"/>
        <v>0</v>
      </c>
      <c r="AH39" s="324">
        <f t="shared" si="33"/>
        <v>0</v>
      </c>
      <c r="AI39" s="325">
        <f t="shared" si="34"/>
        <v>0</v>
      </c>
      <c r="AJ39" s="553">
        <f t="shared" si="21"/>
        <v>0</v>
      </c>
    </row>
    <row r="40" spans="1:37" hidden="1" outlineLevel="1" x14ac:dyDescent="0.3">
      <c r="A40" s="229"/>
      <c r="B40" s="230"/>
      <c r="C40" s="230" t="s">
        <v>58</v>
      </c>
      <c r="D40" s="317">
        <f t="shared" si="36"/>
        <v>0</v>
      </c>
      <c r="E40" s="231"/>
      <c r="F40" s="322">
        <f t="shared" si="35"/>
        <v>0</v>
      </c>
      <c r="G40" s="323">
        <f t="shared" si="12"/>
        <v>0</v>
      </c>
      <c r="H40" s="233"/>
      <c r="I40" s="324">
        <f t="shared" si="28"/>
        <v>0</v>
      </c>
      <c r="J40" s="324">
        <f t="shared" si="37"/>
        <v>0</v>
      </c>
      <c r="K40" s="324">
        <f t="shared" si="29"/>
        <v>0</v>
      </c>
      <c r="L40" s="322">
        <f t="shared" si="23"/>
        <v>0</v>
      </c>
      <c r="M40" s="323">
        <f t="shared" si="24"/>
        <v>0</v>
      </c>
      <c r="N40" s="233"/>
      <c r="O40" s="324">
        <f t="shared" si="38"/>
        <v>0</v>
      </c>
      <c r="P40" s="324">
        <f t="shared" si="39"/>
        <v>0</v>
      </c>
      <c r="Q40" s="325">
        <f t="shared" si="40"/>
        <v>0</v>
      </c>
      <c r="R40" s="322">
        <f t="shared" si="26"/>
        <v>0</v>
      </c>
      <c r="S40" s="323">
        <f t="shared" si="14"/>
        <v>0</v>
      </c>
      <c r="T40" s="233"/>
      <c r="U40" s="324">
        <f t="shared" si="41"/>
        <v>0</v>
      </c>
      <c r="V40" s="324">
        <f t="shared" si="42"/>
        <v>0</v>
      </c>
      <c r="W40" s="325">
        <f t="shared" si="43"/>
        <v>0</v>
      </c>
      <c r="X40" s="324">
        <f t="shared" si="27"/>
        <v>0</v>
      </c>
      <c r="Y40" s="323">
        <f t="shared" si="16"/>
        <v>0</v>
      </c>
      <c r="Z40" s="233"/>
      <c r="AA40" s="324">
        <f t="shared" si="44"/>
        <v>0</v>
      </c>
      <c r="AB40" s="324">
        <f t="shared" si="45"/>
        <v>0</v>
      </c>
      <c r="AC40" s="324">
        <f t="shared" si="46"/>
        <v>0</v>
      </c>
      <c r="AD40" s="322">
        <f t="shared" si="18"/>
        <v>0</v>
      </c>
      <c r="AE40" s="323">
        <f t="shared" si="19"/>
        <v>0</v>
      </c>
      <c r="AF40" s="233"/>
      <c r="AG40" s="324">
        <f t="shared" si="32"/>
        <v>0</v>
      </c>
      <c r="AH40" s="324">
        <f t="shared" si="33"/>
        <v>0</v>
      </c>
      <c r="AI40" s="325">
        <f t="shared" si="34"/>
        <v>0</v>
      </c>
      <c r="AJ40" s="553">
        <f t="shared" si="21"/>
        <v>0</v>
      </c>
    </row>
    <row r="41" spans="1:37" hidden="1" outlineLevel="1" x14ac:dyDescent="0.3">
      <c r="A41" s="229"/>
      <c r="B41" s="230"/>
      <c r="C41" s="230" t="s">
        <v>58</v>
      </c>
      <c r="D41" s="317">
        <f t="shared" si="36"/>
        <v>0</v>
      </c>
      <c r="E41" s="231"/>
      <c r="F41" s="322">
        <f t="shared" si="35"/>
        <v>0</v>
      </c>
      <c r="G41" s="323">
        <f t="shared" si="12"/>
        <v>0</v>
      </c>
      <c r="H41" s="233"/>
      <c r="I41" s="324">
        <f t="shared" si="28"/>
        <v>0</v>
      </c>
      <c r="J41" s="324">
        <f t="shared" si="37"/>
        <v>0</v>
      </c>
      <c r="K41" s="324">
        <f t="shared" si="29"/>
        <v>0</v>
      </c>
      <c r="L41" s="322">
        <f t="shared" si="23"/>
        <v>0</v>
      </c>
      <c r="M41" s="323">
        <f t="shared" si="24"/>
        <v>0</v>
      </c>
      <c r="N41" s="233"/>
      <c r="O41" s="324">
        <f t="shared" si="38"/>
        <v>0</v>
      </c>
      <c r="P41" s="324">
        <f t="shared" si="39"/>
        <v>0</v>
      </c>
      <c r="Q41" s="325">
        <f t="shared" si="40"/>
        <v>0</v>
      </c>
      <c r="R41" s="322">
        <f t="shared" si="26"/>
        <v>0</v>
      </c>
      <c r="S41" s="323">
        <f t="shared" si="14"/>
        <v>0</v>
      </c>
      <c r="T41" s="233"/>
      <c r="U41" s="324">
        <f t="shared" si="41"/>
        <v>0</v>
      </c>
      <c r="V41" s="324">
        <f t="shared" si="42"/>
        <v>0</v>
      </c>
      <c r="W41" s="325">
        <f t="shared" si="43"/>
        <v>0</v>
      </c>
      <c r="X41" s="324">
        <f t="shared" si="27"/>
        <v>0</v>
      </c>
      <c r="Y41" s="323">
        <f t="shared" si="16"/>
        <v>0</v>
      </c>
      <c r="Z41" s="233"/>
      <c r="AA41" s="324">
        <f t="shared" si="44"/>
        <v>0</v>
      </c>
      <c r="AB41" s="324">
        <f t="shared" si="45"/>
        <v>0</v>
      </c>
      <c r="AC41" s="324">
        <f t="shared" si="46"/>
        <v>0</v>
      </c>
      <c r="AD41" s="322">
        <f t="shared" si="18"/>
        <v>0</v>
      </c>
      <c r="AE41" s="323">
        <f t="shared" si="19"/>
        <v>0</v>
      </c>
      <c r="AF41" s="233"/>
      <c r="AG41" s="324">
        <f t="shared" si="32"/>
        <v>0</v>
      </c>
      <c r="AH41" s="324">
        <f t="shared" si="33"/>
        <v>0</v>
      </c>
      <c r="AI41" s="325">
        <f t="shared" si="34"/>
        <v>0</v>
      </c>
      <c r="AJ41" s="553">
        <f t="shared" si="21"/>
        <v>0</v>
      </c>
    </row>
    <row r="42" spans="1:37" hidden="1" outlineLevel="1" x14ac:dyDescent="0.3">
      <c r="A42" s="229"/>
      <c r="B42" s="230"/>
      <c r="C42" s="230" t="s">
        <v>58</v>
      </c>
      <c r="D42" s="426">
        <f t="shared" si="36"/>
        <v>0</v>
      </c>
      <c r="E42" s="231"/>
      <c r="F42" s="357">
        <f t="shared" si="35"/>
        <v>0</v>
      </c>
      <c r="G42" s="379">
        <f t="shared" si="12"/>
        <v>0</v>
      </c>
      <c r="H42" s="233"/>
      <c r="I42" s="358">
        <f t="shared" si="28"/>
        <v>0</v>
      </c>
      <c r="J42" s="358">
        <f t="shared" si="37"/>
        <v>0</v>
      </c>
      <c r="K42" s="358">
        <f t="shared" si="29"/>
        <v>0</v>
      </c>
      <c r="L42" s="357">
        <f t="shared" si="23"/>
        <v>0</v>
      </c>
      <c r="M42" s="379">
        <f t="shared" si="24"/>
        <v>0</v>
      </c>
      <c r="N42" s="233"/>
      <c r="O42" s="358">
        <f t="shared" si="38"/>
        <v>0</v>
      </c>
      <c r="P42" s="358">
        <f t="shared" si="39"/>
        <v>0</v>
      </c>
      <c r="Q42" s="359">
        <f t="shared" si="40"/>
        <v>0</v>
      </c>
      <c r="R42" s="357">
        <f t="shared" si="26"/>
        <v>0</v>
      </c>
      <c r="S42" s="379">
        <f t="shared" si="14"/>
        <v>0</v>
      </c>
      <c r="T42" s="233"/>
      <c r="U42" s="358">
        <f t="shared" si="41"/>
        <v>0</v>
      </c>
      <c r="V42" s="358">
        <f t="shared" si="42"/>
        <v>0</v>
      </c>
      <c r="W42" s="359">
        <f t="shared" si="43"/>
        <v>0</v>
      </c>
      <c r="X42" s="358">
        <f t="shared" si="27"/>
        <v>0</v>
      </c>
      <c r="Y42" s="379">
        <f t="shared" si="16"/>
        <v>0</v>
      </c>
      <c r="Z42" s="233"/>
      <c r="AA42" s="358">
        <f t="shared" si="44"/>
        <v>0</v>
      </c>
      <c r="AB42" s="358">
        <f t="shared" si="45"/>
        <v>0</v>
      </c>
      <c r="AC42" s="358">
        <f t="shared" si="46"/>
        <v>0</v>
      </c>
      <c r="AD42" s="357">
        <f t="shared" si="18"/>
        <v>0</v>
      </c>
      <c r="AE42" s="379">
        <f t="shared" si="19"/>
        <v>0</v>
      </c>
      <c r="AF42" s="233"/>
      <c r="AG42" s="358">
        <f t="shared" si="32"/>
        <v>0</v>
      </c>
      <c r="AH42" s="358">
        <f t="shared" si="33"/>
        <v>0</v>
      </c>
      <c r="AI42" s="359">
        <f t="shared" si="34"/>
        <v>0</v>
      </c>
      <c r="AJ42" s="553">
        <f t="shared" si="21"/>
        <v>0</v>
      </c>
    </row>
    <row r="43" spans="1:37" s="5" customFormat="1" ht="15" thickBot="1" x14ac:dyDescent="0.35">
      <c r="A43" s="427" t="s">
        <v>111</v>
      </c>
      <c r="B43" s="396"/>
      <c r="C43" s="396"/>
      <c r="D43" s="396"/>
      <c r="E43" s="428"/>
      <c r="F43" s="398"/>
      <c r="G43" s="399"/>
      <c r="H43" s="400"/>
      <c r="I43" s="401">
        <f>SUM(I21:I42)</f>
        <v>12000</v>
      </c>
      <c r="J43" s="401">
        <f>SUM(J21:J42)</f>
        <v>3648</v>
      </c>
      <c r="K43" s="428">
        <f>SUM(K21:K42)</f>
        <v>15648</v>
      </c>
      <c r="L43" s="398"/>
      <c r="M43" s="399"/>
      <c r="N43" s="400"/>
      <c r="O43" s="401">
        <f>SUM(O21:O42)</f>
        <v>12240</v>
      </c>
      <c r="P43" s="401">
        <f>SUM(P21:P42)</f>
        <v>3720.96</v>
      </c>
      <c r="Q43" s="429">
        <f>SUM(Q21:Q42)</f>
        <v>15960.96</v>
      </c>
      <c r="R43" s="398"/>
      <c r="S43" s="399"/>
      <c r="T43" s="400"/>
      <c r="U43" s="401">
        <f>SUM(U21:U42)</f>
        <v>92484.800000000003</v>
      </c>
      <c r="V43" s="401">
        <f>SUM(V21:V42)</f>
        <v>28115.379199999999</v>
      </c>
      <c r="W43" s="429">
        <f>SUM(W21:W42)</f>
        <v>120600.1792</v>
      </c>
      <c r="X43" s="428"/>
      <c r="Y43" s="399"/>
      <c r="Z43" s="400"/>
      <c r="AA43" s="401">
        <f>SUM(AA21:AA42)</f>
        <v>94334.495999999999</v>
      </c>
      <c r="AB43" s="401">
        <f>SUM(AB21:AB42)</f>
        <v>28677.686783999998</v>
      </c>
      <c r="AC43" s="428">
        <f>SUM(AC21:AC42)</f>
        <v>123012.182784</v>
      </c>
      <c r="AD43" s="398"/>
      <c r="AE43" s="399"/>
      <c r="AF43" s="400"/>
      <c r="AG43" s="401">
        <f>SUM(AG21:AG42)</f>
        <v>0</v>
      </c>
      <c r="AH43" s="401">
        <f>SUM(AH21:AH42)</f>
        <v>0</v>
      </c>
      <c r="AI43" s="429">
        <f>SUM(AI21:AI42)</f>
        <v>0</v>
      </c>
      <c r="AJ43" s="554">
        <f>SUM(AJ21:AJ42)</f>
        <v>275221.32198399998</v>
      </c>
      <c r="AK43" s="79"/>
    </row>
    <row r="44" spans="1:37" hidden="1" outlineLevel="1" x14ac:dyDescent="0.3">
      <c r="A44" s="430" t="s">
        <v>112</v>
      </c>
      <c r="B44" s="431"/>
      <c r="C44" s="431"/>
      <c r="D44" s="431"/>
      <c r="E44" s="432"/>
      <c r="F44" s="433"/>
      <c r="G44" s="434"/>
      <c r="H44" s="435"/>
      <c r="I44" s="432"/>
      <c r="J44" s="432"/>
      <c r="K44" s="8"/>
      <c r="L44" s="433"/>
      <c r="M44" s="434"/>
      <c r="N44" s="435"/>
      <c r="O44" s="432"/>
      <c r="P44" s="432"/>
      <c r="Q44" s="9"/>
      <c r="R44" s="85"/>
      <c r="S44" s="434"/>
      <c r="T44" s="435"/>
      <c r="U44" s="432"/>
      <c r="V44" s="432"/>
      <c r="W44" s="9"/>
      <c r="X44" s="8"/>
      <c r="Y44" s="434"/>
      <c r="Z44" s="435"/>
      <c r="AA44" s="432"/>
      <c r="AB44" s="432"/>
      <c r="AC44" s="8"/>
      <c r="AD44" s="85"/>
      <c r="AE44" s="434"/>
      <c r="AF44" s="435"/>
      <c r="AG44" s="432"/>
      <c r="AH44" s="432"/>
      <c r="AI44" s="9"/>
      <c r="AJ44" s="105"/>
      <c r="AK44" s="79"/>
    </row>
    <row r="45" spans="1:37" ht="18" customHeight="1" outlineLevel="1" x14ac:dyDescent="0.3">
      <c r="A45" s="340" t="s">
        <v>113</v>
      </c>
      <c r="B45" s="341"/>
      <c r="C45" s="341"/>
      <c r="D45" s="341"/>
      <c r="E45" s="324"/>
      <c r="F45" s="322"/>
      <c r="G45" s="323"/>
      <c r="H45" s="456"/>
      <c r="I45" s="324"/>
      <c r="J45" s="324"/>
      <c r="K45" s="2"/>
      <c r="L45" s="322"/>
      <c r="M45" s="323"/>
      <c r="N45" s="456"/>
      <c r="O45" s="324"/>
      <c r="P45" s="324"/>
      <c r="Q45" s="3"/>
      <c r="R45" s="74"/>
      <c r="S45" s="323"/>
      <c r="T45" s="456"/>
      <c r="U45" s="324"/>
      <c r="V45" s="324"/>
      <c r="W45" s="3"/>
      <c r="X45" s="2"/>
      <c r="Y45" s="323"/>
      <c r="Z45" s="456"/>
      <c r="AA45" s="324"/>
      <c r="AB45" s="324"/>
      <c r="AC45" s="2"/>
      <c r="AD45" s="74"/>
      <c r="AE45" s="323"/>
      <c r="AF45" s="456"/>
      <c r="AG45" s="324"/>
      <c r="AH45" s="324"/>
      <c r="AI45" s="3"/>
      <c r="AJ45" s="222"/>
      <c r="AK45" s="79"/>
    </row>
    <row r="46" spans="1:37" outlineLevel="1" x14ac:dyDescent="0.3">
      <c r="A46" s="538" t="s">
        <v>112</v>
      </c>
      <c r="B46" s="378"/>
      <c r="C46" s="378"/>
      <c r="D46" s="378"/>
      <c r="E46" s="358"/>
      <c r="F46" s="357"/>
      <c r="G46" s="379"/>
      <c r="H46" s="437"/>
      <c r="I46" s="358"/>
      <c r="J46" s="358"/>
      <c r="K46" s="231"/>
      <c r="L46" s="357"/>
      <c r="M46" s="379"/>
      <c r="N46" s="437"/>
      <c r="O46" s="358"/>
      <c r="P46" s="358"/>
      <c r="Q46" s="89"/>
      <c r="R46" s="540" t="s">
        <v>216</v>
      </c>
      <c r="T46" s="437"/>
      <c r="U46" s="358"/>
      <c r="V46" s="358"/>
      <c r="W46" s="89">
        <v>14000</v>
      </c>
      <c r="X46" s="2"/>
      <c r="Y46" s="379"/>
      <c r="Z46" s="437"/>
      <c r="AA46" s="358"/>
      <c r="AB46" s="358"/>
      <c r="AC46" s="231"/>
      <c r="AD46" s="234"/>
      <c r="AE46" s="379"/>
      <c r="AF46" s="437"/>
      <c r="AG46" s="358"/>
      <c r="AH46" s="358"/>
      <c r="AI46" s="89"/>
      <c r="AJ46" s="555">
        <f>SUM(G46:AC46)</f>
        <v>14000</v>
      </c>
      <c r="AK46" s="79"/>
    </row>
    <row r="47" spans="1:37" s="5" customFormat="1" ht="15" thickBot="1" x14ac:dyDescent="0.35">
      <c r="A47" s="313" t="s">
        <v>115</v>
      </c>
      <c r="B47" s="314"/>
      <c r="C47" s="314"/>
      <c r="D47" s="314"/>
      <c r="E47" s="428"/>
      <c r="F47" s="398"/>
      <c r="G47" s="399"/>
      <c r="H47" s="400"/>
      <c r="I47" s="428"/>
      <c r="J47" s="428"/>
      <c r="K47" s="428">
        <f>SUM(K45:K46)</f>
        <v>0</v>
      </c>
      <c r="L47" s="398"/>
      <c r="M47" s="399"/>
      <c r="N47" s="400"/>
      <c r="O47" s="428"/>
      <c r="P47" s="428"/>
      <c r="Q47" s="429">
        <f>SUM(Q45:Q46)</f>
        <v>0</v>
      </c>
      <c r="R47" s="398"/>
      <c r="S47" s="399"/>
      <c r="T47" s="400"/>
      <c r="U47" s="428"/>
      <c r="V47" s="428"/>
      <c r="W47" s="429">
        <f>SUM(W45:W46)</f>
        <v>14000</v>
      </c>
      <c r="X47" s="428"/>
      <c r="Y47" s="399"/>
      <c r="Z47" s="400"/>
      <c r="AA47" s="428"/>
      <c r="AB47" s="428"/>
      <c r="AC47" s="428">
        <f>SUM(AC45:AC46)</f>
        <v>0</v>
      </c>
      <c r="AD47" s="398"/>
      <c r="AE47" s="399"/>
      <c r="AF47" s="400"/>
      <c r="AG47" s="428"/>
      <c r="AH47" s="428"/>
      <c r="AI47" s="429">
        <f>SUM(AI45:AI46)</f>
        <v>0</v>
      </c>
      <c r="AJ47" s="554">
        <f>SUM(AJ45:AJ46)</f>
        <v>14000</v>
      </c>
      <c r="AK47" s="79"/>
    </row>
    <row r="48" spans="1:37" outlineLevel="1" x14ac:dyDescent="0.3">
      <c r="A48" s="430" t="s">
        <v>116</v>
      </c>
      <c r="B48" s="431"/>
      <c r="C48" s="431"/>
      <c r="D48" s="431"/>
      <c r="E48" s="432"/>
      <c r="F48" s="322"/>
      <c r="G48" s="434"/>
      <c r="H48" s="435"/>
      <c r="I48" s="432"/>
      <c r="J48" s="432"/>
      <c r="K48" s="8"/>
      <c r="L48" s="433"/>
      <c r="M48" s="434"/>
      <c r="N48" s="435"/>
      <c r="O48" s="432"/>
      <c r="P48" s="432"/>
      <c r="Q48" s="9"/>
      <c r="R48" s="435"/>
      <c r="S48" s="435"/>
      <c r="T48" s="435"/>
      <c r="U48" s="432"/>
      <c r="V48" s="432"/>
      <c r="W48" s="9"/>
      <c r="X48" s="8"/>
      <c r="Y48" s="434"/>
      <c r="Z48" s="435"/>
      <c r="AA48" s="432"/>
      <c r="AB48" s="432"/>
      <c r="AC48" s="8"/>
      <c r="AD48" s="85"/>
      <c r="AE48" s="434"/>
      <c r="AF48" s="435"/>
      <c r="AG48" s="432"/>
      <c r="AH48" s="432"/>
      <c r="AI48" s="9"/>
      <c r="AJ48" s="105"/>
      <c r="AK48" s="79"/>
    </row>
    <row r="49" spans="1:37" outlineLevel="1" x14ac:dyDescent="0.3">
      <c r="A49" s="340" t="s">
        <v>117</v>
      </c>
      <c r="B49" s="341"/>
      <c r="C49" s="341"/>
      <c r="D49" s="341"/>
      <c r="E49" s="324"/>
      <c r="F49" s="322" t="s">
        <v>217</v>
      </c>
      <c r="G49" s="323"/>
      <c r="H49" s="436"/>
      <c r="I49" s="324"/>
      <c r="J49" s="324"/>
      <c r="K49" s="231">
        <v>3000</v>
      </c>
      <c r="L49" s="322"/>
      <c r="M49" s="323"/>
      <c r="N49" s="436"/>
      <c r="O49" s="324"/>
      <c r="P49" s="324"/>
      <c r="Q49" s="89">
        <v>3000</v>
      </c>
      <c r="R49" s="323"/>
      <c r="S49" s="323"/>
      <c r="T49" s="436"/>
      <c r="U49" s="324"/>
      <c r="V49" s="324"/>
      <c r="W49" s="89">
        <v>3000</v>
      </c>
      <c r="X49" s="231"/>
      <c r="Y49" s="323"/>
      <c r="Z49" s="436"/>
      <c r="AA49" s="324"/>
      <c r="AB49" s="324"/>
      <c r="AC49" s="231">
        <v>3000</v>
      </c>
      <c r="AD49" s="234"/>
      <c r="AE49" s="323"/>
      <c r="AF49" s="436"/>
      <c r="AG49" s="324"/>
      <c r="AH49" s="324"/>
      <c r="AI49" s="89"/>
      <c r="AJ49" s="553">
        <f>K49+Q49+W49+AC49+AI49</f>
        <v>12000</v>
      </c>
      <c r="AK49" s="79"/>
    </row>
    <row r="50" spans="1:37" outlineLevel="1" x14ac:dyDescent="0.3">
      <c r="A50" s="377" t="s">
        <v>122</v>
      </c>
      <c r="B50" s="378"/>
      <c r="C50" s="378"/>
      <c r="D50" s="378"/>
      <c r="E50" s="358"/>
      <c r="F50" s="357"/>
      <c r="G50" s="379"/>
      <c r="H50" s="437"/>
      <c r="I50" s="358"/>
      <c r="J50" s="358"/>
      <c r="K50" s="231"/>
      <c r="L50" s="357"/>
      <c r="M50" s="379"/>
      <c r="N50" s="437"/>
      <c r="O50" s="358"/>
      <c r="P50" s="358"/>
      <c r="Q50" s="89"/>
      <c r="R50" s="323"/>
      <c r="S50" s="379"/>
      <c r="T50" s="437"/>
      <c r="U50" s="358"/>
      <c r="V50" s="358"/>
      <c r="W50" s="89"/>
      <c r="X50" s="231"/>
      <c r="Y50" s="379"/>
      <c r="Z50" s="437"/>
      <c r="AA50" s="358"/>
      <c r="AB50" s="358"/>
      <c r="AC50" s="231"/>
      <c r="AD50" s="234"/>
      <c r="AE50" s="379"/>
      <c r="AF50" s="437"/>
      <c r="AG50" s="358"/>
      <c r="AH50" s="358"/>
      <c r="AI50" s="89"/>
      <c r="AJ50" s="553">
        <f>K50+Q50+W50+AC50+AI50</f>
        <v>0</v>
      </c>
      <c r="AK50" s="79"/>
    </row>
    <row r="51" spans="1:37" s="5" customFormat="1" ht="15" thickBot="1" x14ac:dyDescent="0.35">
      <c r="A51" s="313" t="s">
        <v>123</v>
      </c>
      <c r="B51" s="314"/>
      <c r="C51" s="314"/>
      <c r="D51" s="314"/>
      <c r="E51" s="428"/>
      <c r="F51" s="398"/>
      <c r="G51" s="399"/>
      <c r="H51" s="400"/>
      <c r="I51" s="428"/>
      <c r="J51" s="428"/>
      <c r="K51" s="428">
        <f>SUM(K48:K50)</f>
        <v>3000</v>
      </c>
      <c r="L51" s="398"/>
      <c r="M51" s="399"/>
      <c r="N51" s="400"/>
      <c r="O51" s="428"/>
      <c r="P51" s="428"/>
      <c r="Q51" s="429">
        <f>SUM(Q48:Q50)</f>
        <v>3000</v>
      </c>
      <c r="R51" s="398"/>
      <c r="S51" s="399"/>
      <c r="T51" s="400"/>
      <c r="U51" s="428"/>
      <c r="V51" s="428"/>
      <c r="W51" s="429">
        <f>SUM(W48:W50)</f>
        <v>3000</v>
      </c>
      <c r="X51" s="428"/>
      <c r="Y51" s="399"/>
      <c r="Z51" s="400"/>
      <c r="AA51" s="428"/>
      <c r="AB51" s="428"/>
      <c r="AC51" s="428">
        <f>SUM(AC48:AC50)</f>
        <v>3000</v>
      </c>
      <c r="AD51" s="398"/>
      <c r="AE51" s="399"/>
      <c r="AF51" s="400"/>
      <c r="AG51" s="428"/>
      <c r="AH51" s="428"/>
      <c r="AI51" s="429">
        <f>SUM(AI49:AI50)</f>
        <v>0</v>
      </c>
      <c r="AJ51" s="554">
        <f>SUM(AJ49:AJ50)</f>
        <v>12000</v>
      </c>
      <c r="AK51" s="79"/>
    </row>
    <row r="52" spans="1:37" hidden="1" outlineLevel="1" x14ac:dyDescent="0.3">
      <c r="A52" s="430" t="s">
        <v>124</v>
      </c>
      <c r="B52" s="431"/>
      <c r="C52" s="431"/>
      <c r="D52" s="431"/>
      <c r="E52" s="432"/>
      <c r="F52" s="433"/>
      <c r="G52" s="434"/>
      <c r="H52" s="435"/>
      <c r="I52" s="432"/>
      <c r="J52" s="432"/>
      <c r="K52" s="8"/>
      <c r="L52" s="433"/>
      <c r="M52" s="434"/>
      <c r="N52" s="435"/>
      <c r="O52" s="432"/>
      <c r="P52" s="432"/>
      <c r="Q52" s="9"/>
      <c r="R52" s="85"/>
      <c r="S52" s="434"/>
      <c r="T52" s="435"/>
      <c r="U52" s="432"/>
      <c r="V52" s="432"/>
      <c r="W52" s="9"/>
      <c r="X52" s="8"/>
      <c r="Y52" s="434"/>
      <c r="Z52" s="435"/>
      <c r="AA52" s="432"/>
      <c r="AB52" s="432"/>
      <c r="AC52" s="8"/>
      <c r="AD52" s="85"/>
      <c r="AE52" s="434"/>
      <c r="AF52" s="435"/>
      <c r="AG52" s="432"/>
      <c r="AH52" s="432"/>
      <c r="AI52" s="9"/>
      <c r="AJ52" s="105"/>
      <c r="AK52" s="79"/>
    </row>
    <row r="53" spans="1:37" hidden="1" outlineLevel="1" x14ac:dyDescent="0.3">
      <c r="A53" s="340" t="s">
        <v>218</v>
      </c>
      <c r="B53" s="341"/>
      <c r="C53" s="341"/>
      <c r="D53" s="341"/>
      <c r="E53" s="324"/>
      <c r="F53" s="322"/>
      <c r="G53" s="323"/>
      <c r="H53" s="436"/>
      <c r="I53" s="324"/>
      <c r="J53" s="324"/>
      <c r="K53" s="231"/>
      <c r="L53" s="322"/>
      <c r="M53" s="323"/>
      <c r="N53" s="436"/>
      <c r="O53" s="324"/>
      <c r="P53" s="324"/>
      <c r="Q53" s="89"/>
      <c r="R53" s="234"/>
      <c r="S53" s="323"/>
      <c r="T53" s="436"/>
      <c r="U53" s="324"/>
      <c r="V53" s="324"/>
      <c r="W53" s="89"/>
      <c r="X53" s="231"/>
      <c r="Y53" s="323"/>
      <c r="Z53" s="436"/>
      <c r="AA53" s="324"/>
      <c r="AB53" s="324"/>
      <c r="AC53" s="231"/>
      <c r="AD53" s="234"/>
      <c r="AE53" s="323"/>
      <c r="AF53" s="436"/>
      <c r="AG53" s="324"/>
      <c r="AH53" s="324"/>
      <c r="AI53" s="89"/>
      <c r="AJ53" s="553">
        <f t="shared" ref="AJ53:AJ58" si="47">K53+Q53+W53+AC53+AI53</f>
        <v>0</v>
      </c>
      <c r="AK53" s="79"/>
    </row>
    <row r="54" spans="1:37" hidden="1" outlineLevel="1" x14ac:dyDescent="0.3">
      <c r="A54" s="340" t="s">
        <v>219</v>
      </c>
      <c r="B54" s="341"/>
      <c r="C54" s="341"/>
      <c r="D54" s="341"/>
      <c r="E54" s="324"/>
      <c r="F54" s="322"/>
      <c r="G54" s="323"/>
      <c r="H54" s="436"/>
      <c r="I54" s="324"/>
      <c r="J54" s="324"/>
      <c r="K54" s="231"/>
      <c r="L54" s="322"/>
      <c r="M54" s="323"/>
      <c r="N54" s="436"/>
      <c r="O54" s="324"/>
      <c r="P54" s="324"/>
      <c r="Q54" s="89"/>
      <c r="R54" s="234"/>
      <c r="S54" s="323"/>
      <c r="T54" s="436"/>
      <c r="U54" s="324"/>
      <c r="V54" s="324"/>
      <c r="W54" s="89"/>
      <c r="X54" s="231"/>
      <c r="Y54" s="323"/>
      <c r="Z54" s="436"/>
      <c r="AA54" s="324"/>
      <c r="AB54" s="324"/>
      <c r="AC54" s="231"/>
      <c r="AD54" s="234"/>
      <c r="AE54" s="323"/>
      <c r="AF54" s="436"/>
      <c r="AG54" s="324"/>
      <c r="AH54" s="324"/>
      <c r="AI54" s="89"/>
      <c r="AJ54" s="553">
        <f t="shared" si="47"/>
        <v>0</v>
      </c>
      <c r="AK54" s="79"/>
    </row>
    <row r="55" spans="1:37" hidden="1" outlineLevel="1" x14ac:dyDescent="0.3">
      <c r="A55" s="340" t="s">
        <v>220</v>
      </c>
      <c r="B55" s="341"/>
      <c r="C55" s="341"/>
      <c r="D55" s="341"/>
      <c r="E55" s="324"/>
      <c r="F55" s="322"/>
      <c r="G55" s="323"/>
      <c r="H55" s="436"/>
      <c r="I55" s="324"/>
      <c r="J55" s="324"/>
      <c r="K55" s="231"/>
      <c r="L55" s="322"/>
      <c r="M55" s="323"/>
      <c r="N55" s="436"/>
      <c r="O55" s="324"/>
      <c r="P55" s="324"/>
      <c r="Q55" s="89"/>
      <c r="R55" s="234"/>
      <c r="S55" s="323"/>
      <c r="T55" s="436"/>
      <c r="U55" s="324"/>
      <c r="V55" s="324"/>
      <c r="W55" s="89"/>
      <c r="X55" s="231"/>
      <c r="Y55" s="323"/>
      <c r="Z55" s="436"/>
      <c r="AA55" s="324"/>
      <c r="AB55" s="324"/>
      <c r="AC55" s="231"/>
      <c r="AD55" s="234"/>
      <c r="AE55" s="323"/>
      <c r="AF55" s="436"/>
      <c r="AG55" s="324"/>
      <c r="AH55" s="324"/>
      <c r="AI55" s="89"/>
      <c r="AJ55" s="553">
        <f t="shared" si="47"/>
        <v>0</v>
      </c>
      <c r="AK55" s="79"/>
    </row>
    <row r="56" spans="1:37" hidden="1" outlineLevel="1" x14ac:dyDescent="0.3">
      <c r="A56" s="340" t="s">
        <v>221</v>
      </c>
      <c r="B56" s="341"/>
      <c r="C56" s="341"/>
      <c r="D56" s="341"/>
      <c r="E56" s="324"/>
      <c r="F56" s="322"/>
      <c r="G56" s="323"/>
      <c r="H56" s="436"/>
      <c r="I56" s="324"/>
      <c r="J56" s="324"/>
      <c r="K56" s="231"/>
      <c r="L56" s="322"/>
      <c r="M56" s="323"/>
      <c r="N56" s="436"/>
      <c r="O56" s="324"/>
      <c r="P56" s="324"/>
      <c r="Q56" s="89"/>
      <c r="R56" s="234"/>
      <c r="S56" s="323"/>
      <c r="T56" s="436"/>
      <c r="U56" s="324"/>
      <c r="V56" s="324"/>
      <c r="W56" s="89"/>
      <c r="X56" s="231"/>
      <c r="Y56" s="323"/>
      <c r="Z56" s="436"/>
      <c r="AA56" s="324"/>
      <c r="AB56" s="324"/>
      <c r="AC56" s="231"/>
      <c r="AD56" s="234"/>
      <c r="AE56" s="323"/>
      <c r="AF56" s="436"/>
      <c r="AG56" s="324"/>
      <c r="AH56" s="324"/>
      <c r="AI56" s="89"/>
      <c r="AJ56" s="553">
        <f t="shared" si="47"/>
        <v>0</v>
      </c>
      <c r="AK56" s="79"/>
    </row>
    <row r="57" spans="1:37" ht="12.9" customHeight="1" outlineLevel="1" x14ac:dyDescent="0.3">
      <c r="A57" s="340" t="s">
        <v>222</v>
      </c>
      <c r="B57" s="341"/>
      <c r="C57" s="341"/>
      <c r="D57" s="341"/>
      <c r="E57" s="324"/>
      <c r="F57" s="322"/>
      <c r="G57" s="323"/>
      <c r="H57" s="436"/>
      <c r="I57" s="324"/>
      <c r="J57" s="324"/>
      <c r="K57" s="231"/>
      <c r="L57" s="322"/>
      <c r="M57" s="323"/>
      <c r="N57" s="436"/>
      <c r="O57" s="324"/>
      <c r="P57" s="324"/>
      <c r="Q57" s="89"/>
      <c r="R57" s="323"/>
      <c r="S57" s="323"/>
      <c r="T57" s="436"/>
      <c r="U57" s="324"/>
      <c r="V57" s="324"/>
      <c r="W57" s="89"/>
      <c r="X57" s="231"/>
      <c r="Y57" s="323"/>
      <c r="Z57" s="436"/>
      <c r="AA57" s="324"/>
      <c r="AB57" s="324"/>
      <c r="AC57" s="231"/>
      <c r="AD57" s="234"/>
      <c r="AE57" s="323"/>
      <c r="AF57" s="436"/>
      <c r="AG57" s="324"/>
      <c r="AH57" s="324"/>
      <c r="AI57" s="89"/>
      <c r="AJ57" s="553">
        <f t="shared" si="47"/>
        <v>0</v>
      </c>
      <c r="AK57" s="79"/>
    </row>
    <row r="58" spans="1:37" outlineLevel="1" x14ac:dyDescent="0.3">
      <c r="A58" s="377" t="s">
        <v>223</v>
      </c>
      <c r="B58" s="378"/>
      <c r="C58" s="378"/>
      <c r="D58" s="378"/>
      <c r="E58" s="358"/>
      <c r="F58" s="357"/>
      <c r="G58" s="379"/>
      <c r="H58" s="437"/>
      <c r="I58" s="358"/>
      <c r="J58" s="358"/>
      <c r="K58" s="231"/>
      <c r="L58" s="357"/>
      <c r="M58" s="379"/>
      <c r="N58" s="437"/>
      <c r="O58" s="358"/>
      <c r="P58" s="358"/>
      <c r="Q58" s="89"/>
      <c r="R58" s="323"/>
      <c r="S58" s="379"/>
      <c r="T58" s="437"/>
      <c r="U58" s="358"/>
      <c r="V58" s="358"/>
      <c r="W58" s="89"/>
      <c r="X58" s="231"/>
      <c r="Y58" s="379"/>
      <c r="Z58" s="437"/>
      <c r="AA58" s="358"/>
      <c r="AB58" s="358"/>
      <c r="AC58" s="231"/>
      <c r="AD58" s="234"/>
      <c r="AE58" s="379"/>
      <c r="AF58" s="437"/>
      <c r="AG58" s="358"/>
      <c r="AH58" s="358"/>
      <c r="AI58" s="89"/>
      <c r="AJ58" s="553">
        <f t="shared" si="47"/>
        <v>0</v>
      </c>
      <c r="AK58" s="79"/>
    </row>
    <row r="59" spans="1:37" s="5" customFormat="1" ht="15" thickBot="1" x14ac:dyDescent="0.35">
      <c r="A59" s="313" t="s">
        <v>144</v>
      </c>
      <c r="B59" s="314"/>
      <c r="C59" s="314"/>
      <c r="D59" s="314"/>
      <c r="E59" s="428"/>
      <c r="F59" s="398"/>
      <c r="G59" s="399"/>
      <c r="H59" s="400"/>
      <c r="I59" s="428"/>
      <c r="J59" s="428"/>
      <c r="K59" s="428">
        <f>SUM(K53:K58)</f>
        <v>0</v>
      </c>
      <c r="L59" s="398"/>
      <c r="M59" s="399"/>
      <c r="N59" s="400"/>
      <c r="O59" s="428"/>
      <c r="P59" s="428"/>
      <c r="Q59" s="429">
        <f>SUM(Q53:Q58)</f>
        <v>0</v>
      </c>
      <c r="R59" s="398"/>
      <c r="S59" s="399"/>
      <c r="T59" s="400"/>
      <c r="U59" s="428"/>
      <c r="V59" s="428"/>
      <c r="W59" s="429">
        <f>SUM(W53:W58)</f>
        <v>0</v>
      </c>
      <c r="X59" s="428"/>
      <c r="Y59" s="399"/>
      <c r="Z59" s="400"/>
      <c r="AA59" s="428"/>
      <c r="AB59" s="428"/>
      <c r="AC59" s="428">
        <f>SUM(AC53:AC58)</f>
        <v>0</v>
      </c>
      <c r="AD59" s="398"/>
      <c r="AE59" s="399"/>
      <c r="AF59" s="400"/>
      <c r="AG59" s="428"/>
      <c r="AH59" s="428"/>
      <c r="AI59" s="429">
        <f>SUM(AI53:AI58)</f>
        <v>0</v>
      </c>
      <c r="AJ59" s="554">
        <f>SUM(AJ53:AJ58)</f>
        <v>0</v>
      </c>
      <c r="AK59" s="79"/>
    </row>
    <row r="60" spans="1:37" outlineLevel="1" x14ac:dyDescent="0.3">
      <c r="A60" s="7" t="s">
        <v>145</v>
      </c>
      <c r="B60" s="18"/>
      <c r="C60" s="18"/>
      <c r="D60" s="18"/>
      <c r="E60" s="8"/>
      <c r="F60" s="85"/>
      <c r="G60" s="86"/>
      <c r="H60" s="24"/>
      <c r="I60" s="8"/>
      <c r="J60" s="8"/>
      <c r="K60" s="8"/>
      <c r="L60" s="85"/>
      <c r="M60" s="86"/>
      <c r="N60" s="24"/>
      <c r="O60" s="8"/>
      <c r="P60" s="8"/>
      <c r="Q60" s="9"/>
      <c r="R60" s="85"/>
      <c r="S60" s="86"/>
      <c r="T60" s="24"/>
      <c r="U60" s="8"/>
      <c r="V60" s="8"/>
      <c r="W60" s="9"/>
      <c r="X60" s="8"/>
      <c r="Y60" s="86"/>
      <c r="Z60" s="24"/>
      <c r="AA60" s="8"/>
      <c r="AB60" s="8"/>
      <c r="AC60" s="8"/>
      <c r="AD60" s="85"/>
      <c r="AE60" s="86"/>
      <c r="AF60" s="24"/>
      <c r="AG60" s="8"/>
      <c r="AH60" s="8"/>
      <c r="AI60" s="9"/>
      <c r="AJ60" s="105"/>
      <c r="AK60" s="79"/>
    </row>
    <row r="61" spans="1:37" outlineLevel="1" x14ac:dyDescent="0.3">
      <c r="A61" s="409" t="s">
        <v>146</v>
      </c>
      <c r="B61" s="410"/>
      <c r="C61" s="410"/>
      <c r="D61" s="410"/>
      <c r="E61" s="365"/>
      <c r="F61" s="74"/>
      <c r="H61" s="22"/>
      <c r="I61" s="2"/>
      <c r="J61" s="2"/>
      <c r="K61" s="2"/>
      <c r="L61" s="74"/>
      <c r="O61" s="2"/>
      <c r="P61" s="2"/>
      <c r="Q61" s="3"/>
      <c r="R61" s="74"/>
      <c r="T61" s="22"/>
      <c r="U61" s="2"/>
      <c r="V61" s="2"/>
      <c r="W61" s="3"/>
      <c r="X61" s="2"/>
      <c r="Z61" s="22"/>
      <c r="AA61" s="2"/>
      <c r="AB61" s="2"/>
      <c r="AC61" s="2"/>
      <c r="AD61" s="74"/>
      <c r="AF61" s="22"/>
      <c r="AG61" s="2"/>
      <c r="AH61" s="2"/>
      <c r="AI61" s="3"/>
      <c r="AJ61" s="222"/>
      <c r="AK61" s="79"/>
    </row>
    <row r="62" spans="1:37" outlineLevel="1" x14ac:dyDescent="0.3">
      <c r="A62" s="340" t="s">
        <v>224</v>
      </c>
      <c r="B62" s="341"/>
      <c r="C62" s="341"/>
      <c r="D62" s="341"/>
      <c r="E62" s="324"/>
      <c r="F62" s="439"/>
      <c r="G62" s="440"/>
      <c r="H62" s="441"/>
      <c r="I62" s="442"/>
      <c r="J62" s="442"/>
      <c r="K62" s="231">
        <v>0</v>
      </c>
      <c r="L62" s="439"/>
      <c r="M62" s="440"/>
      <c r="N62" s="441"/>
      <c r="O62" s="442"/>
      <c r="P62" s="442"/>
      <c r="Q62" s="89">
        <v>0</v>
      </c>
      <c r="R62" s="541"/>
      <c r="S62" s="440"/>
      <c r="T62" s="441"/>
      <c r="U62" s="442"/>
      <c r="V62" s="442"/>
      <c r="W62" s="89">
        <v>0</v>
      </c>
      <c r="X62" s="440"/>
      <c r="Y62" s="440"/>
      <c r="Z62" s="441"/>
      <c r="AA62" s="442"/>
      <c r="AB62" s="442"/>
      <c r="AC62" s="231"/>
      <c r="AD62" s="234"/>
      <c r="AE62" s="440"/>
      <c r="AF62" s="441"/>
      <c r="AG62" s="442"/>
      <c r="AH62" s="442"/>
      <c r="AI62" s="89"/>
      <c r="AJ62" s="553"/>
      <c r="AK62" s="79"/>
    </row>
    <row r="63" spans="1:37" outlineLevel="1" x14ac:dyDescent="0.3">
      <c r="A63" s="343" t="s">
        <v>225</v>
      </c>
      <c r="B63" s="342"/>
      <c r="C63" s="342"/>
      <c r="D63" s="342"/>
      <c r="E63" s="324"/>
      <c r="F63" s="322"/>
      <c r="G63" s="323"/>
      <c r="H63" s="436"/>
      <c r="I63" s="324"/>
      <c r="J63" s="324"/>
      <c r="K63" s="231">
        <v>0</v>
      </c>
      <c r="L63" s="322"/>
      <c r="M63" s="323"/>
      <c r="N63" s="436"/>
      <c r="O63" s="324"/>
      <c r="P63" s="324"/>
      <c r="Q63" s="89">
        <v>0</v>
      </c>
      <c r="R63" s="541"/>
      <c r="S63" s="323"/>
      <c r="T63" s="436"/>
      <c r="U63" s="324"/>
      <c r="V63" s="324"/>
      <c r="W63" s="89">
        <v>0</v>
      </c>
      <c r="X63" s="440"/>
      <c r="Y63" s="323"/>
      <c r="Z63" s="436"/>
      <c r="AA63" s="324"/>
      <c r="AB63" s="324"/>
      <c r="AC63" s="231"/>
      <c r="AD63" s="234"/>
      <c r="AE63" s="323"/>
      <c r="AF63" s="436"/>
      <c r="AG63" s="324"/>
      <c r="AH63" s="324"/>
      <c r="AI63" s="89"/>
      <c r="AJ63" s="553">
        <f>K63+Q63+W63+AC63+AI63</f>
        <v>0</v>
      </c>
      <c r="AK63" s="79"/>
    </row>
    <row r="64" spans="1:37" outlineLevel="1" x14ac:dyDescent="0.3">
      <c r="A64" s="343" t="s">
        <v>226</v>
      </c>
      <c r="B64" s="342"/>
      <c r="C64" s="342"/>
      <c r="D64" s="342"/>
      <c r="E64" s="324"/>
      <c r="F64" s="322"/>
      <c r="G64" s="323"/>
      <c r="H64" s="436"/>
      <c r="I64" s="324"/>
      <c r="J64" s="324"/>
      <c r="K64" s="231">
        <v>4551</v>
      </c>
      <c r="L64" s="322"/>
      <c r="M64" s="323"/>
      <c r="N64" s="436"/>
      <c r="O64" s="324"/>
      <c r="P64" s="324"/>
      <c r="Q64" s="89">
        <v>4551</v>
      </c>
      <c r="R64" s="541"/>
      <c r="S64" s="323"/>
      <c r="T64" s="436"/>
      <c r="U64" s="324"/>
      <c r="V64" s="324"/>
      <c r="W64" s="89">
        <v>4551</v>
      </c>
      <c r="X64" s="440"/>
      <c r="Y64" s="323"/>
      <c r="Z64" s="436"/>
      <c r="AA64" s="324"/>
      <c r="AB64" s="324"/>
      <c r="AC64" s="231">
        <v>4551</v>
      </c>
      <c r="AD64" s="234"/>
      <c r="AE64" s="323"/>
      <c r="AF64" s="436"/>
      <c r="AG64" s="324"/>
      <c r="AH64" s="324"/>
      <c r="AI64" s="89"/>
      <c r="AJ64" s="553">
        <f t="shared" ref="AJ64:AJ72" si="48">K64+Q64+W64+AC64+AI64</f>
        <v>18204</v>
      </c>
      <c r="AK64" s="79"/>
    </row>
    <row r="65" spans="1:37" outlineLevel="1" x14ac:dyDescent="0.3">
      <c r="A65" s="417" t="s">
        <v>227</v>
      </c>
      <c r="B65" s="418"/>
      <c r="C65" s="418"/>
      <c r="D65" s="418"/>
      <c r="E65" s="358"/>
      <c r="F65" s="357"/>
      <c r="G65" s="379"/>
      <c r="H65" s="437"/>
      <c r="I65" s="358"/>
      <c r="J65" s="358"/>
      <c r="K65" s="231">
        <v>2500</v>
      </c>
      <c r="L65" s="357"/>
      <c r="M65" s="379"/>
      <c r="N65" s="437"/>
      <c r="O65" s="358"/>
      <c r="P65" s="358"/>
      <c r="Q65" s="89">
        <v>2500</v>
      </c>
      <c r="R65" s="541"/>
      <c r="S65" s="379"/>
      <c r="T65" s="437"/>
      <c r="U65" s="358"/>
      <c r="V65" s="358"/>
      <c r="W65" s="89">
        <v>2500</v>
      </c>
      <c r="X65" s="440"/>
      <c r="Y65" s="379"/>
      <c r="Z65" s="437"/>
      <c r="AA65" s="358"/>
      <c r="AB65" s="358"/>
      <c r="AC65" s="231">
        <v>2500</v>
      </c>
      <c r="AD65" s="234"/>
      <c r="AE65" s="379"/>
      <c r="AF65" s="437"/>
      <c r="AG65" s="358"/>
      <c r="AH65" s="358"/>
      <c r="AI65" s="89"/>
      <c r="AJ65" s="553">
        <f t="shared" si="48"/>
        <v>10000</v>
      </c>
      <c r="AK65" s="79"/>
    </row>
    <row r="66" spans="1:37" outlineLevel="1" x14ac:dyDescent="0.3">
      <c r="A66" s="417" t="s">
        <v>228</v>
      </c>
      <c r="B66" s="417"/>
      <c r="C66" s="417"/>
      <c r="D66" s="417"/>
      <c r="E66" s="539"/>
      <c r="F66" s="417"/>
      <c r="G66" s="379"/>
      <c r="H66" s="437"/>
      <c r="I66" s="358"/>
      <c r="J66" s="358"/>
      <c r="K66" s="231">
        <f>150*50</f>
        <v>7500</v>
      </c>
      <c r="L66" s="357"/>
      <c r="M66" s="379"/>
      <c r="N66" s="437"/>
      <c r="O66" s="358"/>
      <c r="P66" s="358"/>
      <c r="Q66" s="89">
        <v>0</v>
      </c>
      <c r="R66" s="541"/>
      <c r="S66" s="379"/>
      <c r="T66" s="437"/>
      <c r="U66" s="358"/>
      <c r="V66" s="358"/>
      <c r="W66" s="89">
        <v>6750</v>
      </c>
      <c r="X66" s="440"/>
      <c r="Y66" s="379"/>
      <c r="Z66" s="437"/>
      <c r="AA66" s="358"/>
      <c r="AB66" s="358"/>
      <c r="AC66" s="231">
        <v>6750</v>
      </c>
      <c r="AD66" s="234"/>
      <c r="AE66" s="379"/>
      <c r="AF66" s="437"/>
      <c r="AG66" s="358"/>
      <c r="AH66" s="358"/>
      <c r="AI66" s="89"/>
      <c r="AJ66" s="553">
        <f t="shared" si="48"/>
        <v>21000</v>
      </c>
      <c r="AK66" s="79"/>
    </row>
    <row r="67" spans="1:37" outlineLevel="1" x14ac:dyDescent="0.3">
      <c r="A67" s="417" t="s">
        <v>229</v>
      </c>
      <c r="B67" s="417"/>
      <c r="C67" s="417"/>
      <c r="D67" s="417"/>
      <c r="E67" s="417"/>
      <c r="F67" s="417"/>
      <c r="G67" s="379"/>
      <c r="H67" s="437"/>
      <c r="I67" s="358"/>
      <c r="J67" s="358"/>
      <c r="K67" s="231">
        <v>0</v>
      </c>
      <c r="L67" s="357"/>
      <c r="M67" s="379"/>
      <c r="N67" s="437"/>
      <c r="O67" s="358"/>
      <c r="P67" s="358"/>
      <c r="Q67" s="89">
        <v>0</v>
      </c>
      <c r="R67" s="541"/>
      <c r="S67" s="379"/>
      <c r="T67" s="437"/>
      <c r="U67" s="358"/>
      <c r="V67" s="358"/>
      <c r="W67" s="89">
        <v>78750</v>
      </c>
      <c r="X67" s="440"/>
      <c r="Y67" s="379"/>
      <c r="Z67" s="437"/>
      <c r="AA67" s="358"/>
      <c r="AB67" s="358"/>
      <c r="AC67" s="231">
        <v>78750</v>
      </c>
      <c r="AD67" s="234"/>
      <c r="AE67" s="379"/>
      <c r="AF67" s="437"/>
      <c r="AG67" s="358"/>
      <c r="AH67" s="358"/>
      <c r="AI67" s="89"/>
      <c r="AJ67" s="553">
        <f t="shared" si="48"/>
        <v>157500</v>
      </c>
      <c r="AK67" s="79"/>
    </row>
    <row r="68" spans="1:37" outlineLevel="1" x14ac:dyDescent="0.3">
      <c r="A68" s="417" t="s">
        <v>230</v>
      </c>
      <c r="B68" s="418"/>
      <c r="C68" s="418"/>
      <c r="D68" s="418"/>
      <c r="E68" s="358"/>
      <c r="F68" s="357"/>
      <c r="G68" s="379"/>
      <c r="H68" s="437"/>
      <c r="I68" s="358"/>
      <c r="J68" s="358"/>
      <c r="K68" s="231">
        <v>0</v>
      </c>
      <c r="L68" s="357"/>
      <c r="M68" s="379"/>
      <c r="N68" s="437"/>
      <c r="O68" s="358"/>
      <c r="P68" s="358"/>
      <c r="Q68" s="89">
        <f>225*93</f>
        <v>20925</v>
      </c>
      <c r="R68" s="541"/>
      <c r="S68" s="379"/>
      <c r="T68" s="437"/>
      <c r="U68" s="358"/>
      <c r="V68" s="358"/>
      <c r="W68" s="89">
        <f>225*93</f>
        <v>20925</v>
      </c>
      <c r="X68" s="440"/>
      <c r="Y68" s="379"/>
      <c r="Z68" s="437"/>
      <c r="AA68" s="358"/>
      <c r="AB68" s="358"/>
      <c r="AC68" s="231">
        <v>0</v>
      </c>
      <c r="AD68" s="234"/>
      <c r="AE68" s="379"/>
      <c r="AF68" s="437"/>
      <c r="AG68" s="358"/>
      <c r="AH68" s="358"/>
      <c r="AI68" s="89"/>
      <c r="AJ68" s="553">
        <f t="shared" si="48"/>
        <v>41850</v>
      </c>
      <c r="AK68" s="79"/>
    </row>
    <row r="69" spans="1:37" s="5" customFormat="1" outlineLevel="1" x14ac:dyDescent="0.3">
      <c r="A69" s="344" t="s">
        <v>181</v>
      </c>
      <c r="B69" s="345"/>
      <c r="C69" s="345"/>
      <c r="D69" s="345"/>
      <c r="E69" s="349"/>
      <c r="F69" s="346"/>
      <c r="G69" s="347"/>
      <c r="H69" s="348"/>
      <c r="I69" s="349"/>
      <c r="J69" s="349"/>
      <c r="K69" s="349">
        <f>SUM(K62:K68)</f>
        <v>14551</v>
      </c>
      <c r="L69" s="346"/>
      <c r="M69" s="347"/>
      <c r="N69" s="348"/>
      <c r="O69" s="349"/>
      <c r="P69" s="349"/>
      <c r="Q69" s="350">
        <f>SUM(Q62:Q68)</f>
        <v>27976</v>
      </c>
      <c r="R69" s="346"/>
      <c r="S69" s="347"/>
      <c r="T69" s="348"/>
      <c r="U69" s="349"/>
      <c r="V69" s="349"/>
      <c r="W69" s="350">
        <f>SUM(W62:W68)</f>
        <v>113476</v>
      </c>
      <c r="X69" s="349"/>
      <c r="Y69" s="347"/>
      <c r="Z69" s="348"/>
      <c r="AA69" s="349"/>
      <c r="AB69" s="349"/>
      <c r="AC69" s="349">
        <f>SUM(AC62:AC68)</f>
        <v>92551</v>
      </c>
      <c r="AD69" s="346"/>
      <c r="AE69" s="347"/>
      <c r="AF69" s="348"/>
      <c r="AG69" s="349"/>
      <c r="AH69" s="349"/>
      <c r="AI69" s="350">
        <f>SUM(AI62:AI68)</f>
        <v>0</v>
      </c>
      <c r="AJ69" s="556">
        <f>K69+Q69+W69+AC69+AI69</f>
        <v>248554</v>
      </c>
      <c r="AK69" s="79"/>
    </row>
    <row r="70" spans="1:37" outlineLevel="1" x14ac:dyDescent="0.3">
      <c r="A70" s="409" t="s">
        <v>182</v>
      </c>
      <c r="B70" s="410"/>
      <c r="C70" s="410"/>
      <c r="D70" s="410"/>
      <c r="E70" s="365"/>
      <c r="F70" s="363"/>
      <c r="G70" s="364"/>
      <c r="H70" s="438"/>
      <c r="I70" s="365"/>
      <c r="J70" s="365"/>
      <c r="K70" s="231"/>
      <c r="L70" s="363"/>
      <c r="M70" s="364"/>
      <c r="N70" s="438"/>
      <c r="O70" s="365"/>
      <c r="P70" s="365"/>
      <c r="Q70" s="89"/>
      <c r="R70" s="74"/>
      <c r="S70" s="364"/>
      <c r="T70" s="438"/>
      <c r="U70" s="365"/>
      <c r="V70" s="365"/>
      <c r="W70" s="89"/>
      <c r="X70" s="2"/>
      <c r="Y70" s="364"/>
      <c r="Z70" s="438"/>
      <c r="AA70" s="365"/>
      <c r="AB70" s="365"/>
      <c r="AC70" s="231"/>
      <c r="AD70" s="234"/>
      <c r="AE70" s="364"/>
      <c r="AF70" s="438"/>
      <c r="AG70" s="365"/>
      <c r="AH70" s="365"/>
      <c r="AI70" s="89"/>
      <c r="AJ70" s="553">
        <f>K70+Q70+W70+AC70+AI70</f>
        <v>0</v>
      </c>
      <c r="AK70" s="79"/>
    </row>
    <row r="71" spans="1:37" outlineLevel="1" x14ac:dyDescent="0.3">
      <c r="A71" s="340" t="s">
        <v>183</v>
      </c>
      <c r="B71" s="341"/>
      <c r="C71" s="341"/>
      <c r="D71" s="341"/>
      <c r="E71" s="324"/>
      <c r="F71" s="322"/>
      <c r="G71" s="323"/>
      <c r="H71" s="436"/>
      <c r="I71" s="324"/>
      <c r="J71" s="324"/>
      <c r="K71" s="231"/>
      <c r="L71" s="322"/>
      <c r="M71" s="323"/>
      <c r="N71" s="436"/>
      <c r="O71" s="324"/>
      <c r="P71" s="324"/>
      <c r="Q71" s="89"/>
      <c r="R71" s="540"/>
      <c r="S71" s="323"/>
      <c r="T71" s="436"/>
      <c r="U71" s="324"/>
      <c r="V71" s="324"/>
      <c r="W71" s="89"/>
      <c r="X71" s="323"/>
      <c r="Y71" s="323"/>
      <c r="Z71" s="436"/>
      <c r="AA71" s="324"/>
      <c r="AB71" s="324"/>
      <c r="AC71" s="231"/>
      <c r="AD71" s="234"/>
      <c r="AE71" s="323"/>
      <c r="AF71" s="436"/>
      <c r="AG71" s="324"/>
      <c r="AH71" s="324"/>
      <c r="AI71" s="89"/>
      <c r="AJ71" s="553">
        <f t="shared" si="48"/>
        <v>0</v>
      </c>
      <c r="AK71" s="79"/>
    </row>
    <row r="72" spans="1:37" outlineLevel="1" x14ac:dyDescent="0.3">
      <c r="A72" s="340" t="s">
        <v>184</v>
      </c>
      <c r="B72" s="341"/>
      <c r="C72" s="341"/>
      <c r="D72" s="341"/>
      <c r="E72" s="324"/>
      <c r="F72" s="322"/>
      <c r="G72" s="323"/>
      <c r="H72" s="436"/>
      <c r="I72" s="324"/>
      <c r="J72" s="324"/>
      <c r="K72" s="231"/>
      <c r="L72" s="322"/>
      <c r="M72" s="323"/>
      <c r="N72" s="436"/>
      <c r="O72" s="324"/>
      <c r="P72" s="324"/>
      <c r="Q72" s="89"/>
      <c r="R72" s="540"/>
      <c r="S72" s="323"/>
      <c r="T72" s="436"/>
      <c r="U72" s="324"/>
      <c r="V72" s="324"/>
      <c r="W72" s="89"/>
      <c r="X72" s="323"/>
      <c r="Y72" s="323"/>
      <c r="Z72" s="436"/>
      <c r="AA72" s="324"/>
      <c r="AB72" s="324"/>
      <c r="AC72" s="231"/>
      <c r="AD72" s="234"/>
      <c r="AE72" s="323"/>
      <c r="AF72" s="436"/>
      <c r="AG72" s="324"/>
      <c r="AH72" s="324"/>
      <c r="AI72" s="89"/>
      <c r="AJ72" s="553">
        <f t="shared" si="48"/>
        <v>0</v>
      </c>
      <c r="AK72" s="79"/>
    </row>
    <row r="73" spans="1:37" outlineLevel="1" x14ac:dyDescent="0.3">
      <c r="A73" s="340" t="s">
        <v>231</v>
      </c>
      <c r="B73" s="341"/>
      <c r="C73" s="341"/>
      <c r="D73" s="341"/>
      <c r="E73" s="324"/>
      <c r="F73" s="322"/>
      <c r="G73" s="323"/>
      <c r="H73" s="436"/>
      <c r="I73" s="324"/>
      <c r="J73" s="324"/>
      <c r="K73" s="2"/>
      <c r="L73" s="322"/>
      <c r="M73" s="323"/>
      <c r="N73" s="436"/>
      <c r="O73" s="324"/>
      <c r="P73" s="324"/>
      <c r="Q73" s="3"/>
      <c r="R73" s="540"/>
      <c r="S73" s="323"/>
      <c r="T73" s="436"/>
      <c r="U73" s="324"/>
      <c r="V73" s="324"/>
      <c r="W73" s="3"/>
      <c r="X73" s="323"/>
      <c r="Y73" s="323"/>
      <c r="Z73" s="436"/>
      <c r="AA73" s="324"/>
      <c r="AB73" s="324"/>
      <c r="AC73" s="2"/>
      <c r="AD73" s="74"/>
      <c r="AE73" s="323"/>
      <c r="AF73" s="436"/>
      <c r="AG73" s="324"/>
      <c r="AH73" s="324"/>
      <c r="AI73" s="3"/>
      <c r="AJ73" s="553"/>
      <c r="AK73" s="79"/>
    </row>
    <row r="74" spans="1:37" outlineLevel="1" x14ac:dyDescent="0.3">
      <c r="A74" s="340" t="s">
        <v>188</v>
      </c>
      <c r="B74" s="341"/>
      <c r="C74" s="341"/>
      <c r="D74" s="341"/>
      <c r="E74" s="324"/>
      <c r="F74" s="322"/>
      <c r="G74" s="323"/>
      <c r="H74" s="436"/>
      <c r="I74" s="324"/>
      <c r="J74" s="324"/>
      <c r="K74" s="231"/>
      <c r="L74" s="322"/>
      <c r="M74" s="323"/>
      <c r="N74" s="436"/>
      <c r="O74" s="324"/>
      <c r="P74" s="324"/>
      <c r="Q74" s="89"/>
      <c r="R74" s="540"/>
      <c r="S74" s="323"/>
      <c r="T74" s="436"/>
      <c r="U74" s="324"/>
      <c r="V74" s="324"/>
      <c r="W74" s="89"/>
      <c r="X74" s="323"/>
      <c r="Y74" s="323"/>
      <c r="Z74" s="436"/>
      <c r="AA74" s="324"/>
      <c r="AB74" s="324"/>
      <c r="AC74" s="231"/>
      <c r="AD74" s="234"/>
      <c r="AE74" s="323"/>
      <c r="AF74" s="436"/>
      <c r="AG74" s="324"/>
      <c r="AH74" s="324"/>
      <c r="AI74" s="89"/>
      <c r="AJ74" s="553">
        <f>K74+Q74+W74+AC74+AI74</f>
        <v>0</v>
      </c>
      <c r="AK74" s="79"/>
    </row>
    <row r="75" spans="1:37" outlineLevel="1" x14ac:dyDescent="0.3">
      <c r="A75" s="377" t="s">
        <v>189</v>
      </c>
      <c r="B75" s="378"/>
      <c r="C75" s="378"/>
      <c r="D75" s="378"/>
      <c r="E75" s="358"/>
      <c r="F75" s="357"/>
      <c r="G75" s="379"/>
      <c r="H75" s="437"/>
      <c r="I75" s="358"/>
      <c r="J75" s="358"/>
      <c r="K75" s="231"/>
      <c r="L75" s="357"/>
      <c r="M75" s="379"/>
      <c r="N75" s="437"/>
      <c r="O75" s="358"/>
      <c r="P75" s="358"/>
      <c r="Q75" s="89"/>
      <c r="R75" s="540"/>
      <c r="S75" s="379"/>
      <c r="T75" s="437"/>
      <c r="U75" s="358"/>
      <c r="V75" s="358"/>
      <c r="W75" s="89"/>
      <c r="X75" s="323"/>
      <c r="Y75" s="379"/>
      <c r="Z75" s="437"/>
      <c r="AA75" s="358"/>
      <c r="AB75" s="358"/>
      <c r="AC75" s="231"/>
      <c r="AD75" s="234"/>
      <c r="AE75" s="379"/>
      <c r="AF75" s="437"/>
      <c r="AG75" s="358"/>
      <c r="AH75" s="358"/>
      <c r="AI75" s="89"/>
      <c r="AJ75" s="553">
        <f>K75+Q75+W75+AC75+AI75</f>
        <v>0</v>
      </c>
      <c r="AK75" s="79"/>
    </row>
    <row r="76" spans="1:37" outlineLevel="1" x14ac:dyDescent="0.3">
      <c r="A76" s="351" t="s">
        <v>190</v>
      </c>
      <c r="B76" s="352"/>
      <c r="C76" s="352"/>
      <c r="D76" s="352"/>
      <c r="E76" s="443"/>
      <c r="F76" s="444"/>
      <c r="G76" s="445"/>
      <c r="H76" s="446"/>
      <c r="I76" s="443"/>
      <c r="J76" s="443"/>
      <c r="K76" s="443">
        <f>SUM(K74:K75)</f>
        <v>0</v>
      </c>
      <c r="L76" s="444"/>
      <c r="M76" s="445"/>
      <c r="N76" s="446"/>
      <c r="O76" s="443"/>
      <c r="P76" s="443"/>
      <c r="Q76" s="447">
        <f>SUM(Q74:Q75)</f>
        <v>0</v>
      </c>
      <c r="R76" s="444"/>
      <c r="S76" s="445"/>
      <c r="T76" s="446"/>
      <c r="U76" s="443"/>
      <c r="V76" s="443"/>
      <c r="W76" s="447">
        <f>SUM(W74:W75)</f>
        <v>0</v>
      </c>
      <c r="X76" s="443"/>
      <c r="Y76" s="445"/>
      <c r="Z76" s="446"/>
      <c r="AA76" s="443"/>
      <c r="AB76" s="443"/>
      <c r="AC76" s="443">
        <f>SUM(AC74:AC75)</f>
        <v>0</v>
      </c>
      <c r="AD76" s="444"/>
      <c r="AE76" s="445"/>
      <c r="AF76" s="446"/>
      <c r="AG76" s="443"/>
      <c r="AH76" s="443"/>
      <c r="AI76" s="447">
        <f>SUM(AI74:AI75)</f>
        <v>0</v>
      </c>
      <c r="AJ76" s="553">
        <f>K76+Q76+W76+AC76+AI76</f>
        <v>0</v>
      </c>
      <c r="AK76" s="79"/>
    </row>
    <row r="77" spans="1:37" outlineLevel="1" x14ac:dyDescent="0.3">
      <c r="A77" s="409" t="s">
        <v>191</v>
      </c>
      <c r="B77" s="410"/>
      <c r="C77" s="410"/>
      <c r="D77" s="410"/>
      <c r="E77" s="365"/>
      <c r="F77" s="363"/>
      <c r="G77" s="364"/>
      <c r="H77" s="438"/>
      <c r="I77" s="365"/>
      <c r="J77" s="365"/>
      <c r="K77" s="231"/>
      <c r="L77" s="363"/>
      <c r="M77" s="364"/>
      <c r="N77" s="438"/>
      <c r="O77" s="365"/>
      <c r="P77" s="365"/>
      <c r="Q77" s="89"/>
      <c r="R77" s="540"/>
      <c r="S77" s="364"/>
      <c r="T77" s="438"/>
      <c r="U77" s="365"/>
      <c r="V77" s="365"/>
      <c r="W77" s="89"/>
      <c r="X77" s="2"/>
      <c r="Y77" s="364"/>
      <c r="Z77" s="438"/>
      <c r="AA77" s="365"/>
      <c r="AB77" s="365"/>
      <c r="AC77" s="231"/>
      <c r="AD77" s="234"/>
      <c r="AE77" s="364"/>
      <c r="AF77" s="438"/>
      <c r="AG77" s="365"/>
      <c r="AH77" s="365"/>
      <c r="AI77" s="89"/>
      <c r="AJ77" s="553">
        <f>K77+Q77+W77+AC77+AI77</f>
        <v>0</v>
      </c>
      <c r="AK77" s="79"/>
    </row>
    <row r="78" spans="1:37" outlineLevel="1" x14ac:dyDescent="0.3">
      <c r="A78" s="340" t="s">
        <v>192</v>
      </c>
      <c r="B78" s="341"/>
      <c r="C78" s="341"/>
      <c r="D78" s="341"/>
      <c r="E78" s="324"/>
      <c r="F78" s="322"/>
      <c r="G78" s="323"/>
      <c r="H78" s="436"/>
      <c r="I78" s="324"/>
      <c r="J78" s="324"/>
      <c r="K78" s="231"/>
      <c r="L78" s="322"/>
      <c r="M78" s="323"/>
      <c r="N78" s="436"/>
      <c r="O78" s="324"/>
      <c r="P78" s="324"/>
      <c r="Q78" s="89"/>
      <c r="R78" s="540"/>
      <c r="S78" s="323"/>
      <c r="T78" s="436"/>
      <c r="U78" s="324"/>
      <c r="V78" s="324"/>
      <c r="W78" s="89"/>
      <c r="X78" s="323"/>
      <c r="Y78" s="323"/>
      <c r="Z78" s="436"/>
      <c r="AA78" s="324"/>
      <c r="AB78" s="324"/>
      <c r="AC78" s="231"/>
      <c r="AD78" s="234"/>
      <c r="AE78" s="323"/>
      <c r="AF78" s="436"/>
      <c r="AG78" s="324"/>
      <c r="AH78" s="324"/>
      <c r="AI78" s="89"/>
      <c r="AJ78" s="553">
        <f>K78+Q78+W78+AC78+AI78</f>
        <v>0</v>
      </c>
      <c r="AK78" s="79"/>
    </row>
    <row r="79" spans="1:37" outlineLevel="1" x14ac:dyDescent="0.3">
      <c r="A79" s="340" t="s">
        <v>193</v>
      </c>
      <c r="B79" s="341"/>
      <c r="C79" s="341"/>
      <c r="D79" s="341"/>
      <c r="E79" s="324"/>
      <c r="F79" s="322"/>
      <c r="G79" s="323"/>
      <c r="H79" s="436"/>
      <c r="I79" s="324"/>
      <c r="J79" s="324"/>
      <c r="K79" s="2"/>
      <c r="L79" s="322"/>
      <c r="M79" s="323"/>
      <c r="N79" s="436"/>
      <c r="O79" s="324"/>
      <c r="P79" s="324"/>
      <c r="Q79" s="3"/>
      <c r="R79" s="540"/>
      <c r="S79" s="323"/>
      <c r="T79" s="436"/>
      <c r="U79" s="324"/>
      <c r="V79" s="324"/>
      <c r="W79" s="3"/>
      <c r="X79" s="323"/>
      <c r="Y79" s="323"/>
      <c r="Z79" s="436"/>
      <c r="AA79" s="324"/>
      <c r="AB79" s="324"/>
      <c r="AC79" s="2"/>
      <c r="AD79" s="74"/>
      <c r="AE79" s="323"/>
      <c r="AF79" s="436"/>
      <c r="AG79" s="324"/>
      <c r="AH79" s="324"/>
      <c r="AI79" s="3"/>
      <c r="AJ79" s="553"/>
      <c r="AK79" s="79"/>
    </row>
    <row r="80" spans="1:37" outlineLevel="1" x14ac:dyDescent="0.3">
      <c r="A80" s="340" t="s">
        <v>194</v>
      </c>
      <c r="B80" s="341"/>
      <c r="C80" s="341"/>
      <c r="D80" s="341"/>
      <c r="E80" s="324"/>
      <c r="F80" s="322"/>
      <c r="G80" s="323"/>
      <c r="H80" s="436"/>
      <c r="I80" s="324"/>
      <c r="J80" s="324"/>
      <c r="K80" s="231"/>
      <c r="L80" s="322"/>
      <c r="M80" s="323"/>
      <c r="N80" s="436"/>
      <c r="O80" s="324"/>
      <c r="P80" s="324"/>
      <c r="Q80" s="89"/>
      <c r="R80" s="540"/>
      <c r="S80" s="323"/>
      <c r="T80" s="436"/>
      <c r="U80" s="324"/>
      <c r="V80" s="324"/>
      <c r="W80" s="89"/>
      <c r="X80" s="323"/>
      <c r="Y80" s="323"/>
      <c r="Z80" s="436"/>
      <c r="AA80" s="324"/>
      <c r="AB80" s="324"/>
      <c r="AC80" s="231"/>
      <c r="AD80" s="234"/>
      <c r="AE80" s="323"/>
      <c r="AF80" s="436"/>
      <c r="AG80" s="324"/>
      <c r="AH80" s="324"/>
      <c r="AI80" s="89"/>
      <c r="AJ80" s="553">
        <f t="shared" ref="AJ80:AJ82" si="49">K80+Q80+W80+AC80+AI80</f>
        <v>0</v>
      </c>
      <c r="AK80" s="79"/>
    </row>
    <row r="81" spans="1:37" outlineLevel="1" x14ac:dyDescent="0.3">
      <c r="A81" s="377" t="s">
        <v>195</v>
      </c>
      <c r="B81" s="378"/>
      <c r="C81" s="378"/>
      <c r="D81" s="378"/>
      <c r="E81" s="358"/>
      <c r="F81" s="357"/>
      <c r="G81" s="379"/>
      <c r="H81" s="437"/>
      <c r="I81" s="358"/>
      <c r="J81" s="358"/>
      <c r="K81" s="231"/>
      <c r="L81" s="357"/>
      <c r="M81" s="379"/>
      <c r="N81" s="437"/>
      <c r="O81" s="358"/>
      <c r="P81" s="358"/>
      <c r="Q81" s="89"/>
      <c r="R81" s="540"/>
      <c r="S81" s="379"/>
      <c r="T81" s="437"/>
      <c r="U81" s="358"/>
      <c r="V81" s="358"/>
      <c r="W81" s="89"/>
      <c r="X81" s="323"/>
      <c r="Y81" s="379"/>
      <c r="Z81" s="437"/>
      <c r="AA81" s="358"/>
      <c r="AB81" s="358"/>
      <c r="AC81" s="231"/>
      <c r="AD81" s="234"/>
      <c r="AE81" s="379"/>
      <c r="AF81" s="437"/>
      <c r="AG81" s="358"/>
      <c r="AH81" s="358"/>
      <c r="AI81" s="89"/>
      <c r="AJ81" s="553">
        <f t="shared" si="49"/>
        <v>0</v>
      </c>
      <c r="AK81" s="79"/>
    </row>
    <row r="82" spans="1:37" ht="15" outlineLevel="1" thickBot="1" x14ac:dyDescent="0.35">
      <c r="A82" s="448" t="s">
        <v>196</v>
      </c>
      <c r="B82" s="449"/>
      <c r="C82" s="449"/>
      <c r="D82" s="449"/>
      <c r="E82" s="450"/>
      <c r="F82" s="451"/>
      <c r="G82" s="452"/>
      <c r="H82" s="453"/>
      <c r="I82" s="450"/>
      <c r="J82" s="450"/>
      <c r="K82" s="450">
        <f>SUM(K80:K81)</f>
        <v>0</v>
      </c>
      <c r="L82" s="451"/>
      <c r="M82" s="452"/>
      <c r="N82" s="453"/>
      <c r="O82" s="450"/>
      <c r="P82" s="450"/>
      <c r="Q82" s="454">
        <f>SUM(Q80:Q81)</f>
        <v>0</v>
      </c>
      <c r="R82" s="542"/>
      <c r="S82" s="543"/>
      <c r="T82" s="544"/>
      <c r="U82" s="545"/>
      <c r="V82" s="545"/>
      <c r="W82" s="546">
        <f>SUM(W80:W81)</f>
        <v>0</v>
      </c>
      <c r="X82" s="450"/>
      <c r="Y82" s="452"/>
      <c r="Z82" s="453"/>
      <c r="AA82" s="450"/>
      <c r="AB82" s="450"/>
      <c r="AC82" s="450">
        <f>SUM(AC80:AC81)</f>
        <v>0</v>
      </c>
      <c r="AD82" s="451"/>
      <c r="AE82" s="452"/>
      <c r="AF82" s="453"/>
      <c r="AG82" s="450"/>
      <c r="AH82" s="450"/>
      <c r="AI82" s="454">
        <f>SUM(AI80:AI81)</f>
        <v>0</v>
      </c>
      <c r="AJ82" s="553">
        <f t="shared" si="49"/>
        <v>0</v>
      </c>
      <c r="AK82" s="79"/>
    </row>
    <row r="83" spans="1:37" ht="15" thickBot="1" x14ac:dyDescent="0.35">
      <c r="A83" s="313" t="s">
        <v>200</v>
      </c>
      <c r="B83" s="314"/>
      <c r="C83" s="314"/>
      <c r="D83" s="314"/>
      <c r="E83" s="455"/>
      <c r="F83" s="398"/>
      <c r="G83" s="399"/>
      <c r="H83" s="400"/>
      <c r="I83" s="428"/>
      <c r="J83" s="428"/>
      <c r="K83" s="428">
        <f>K69+K70+K71+K72+K76+K77+K78+K82</f>
        <v>14551</v>
      </c>
      <c r="L83" s="398"/>
      <c r="M83" s="399"/>
      <c r="N83" s="400"/>
      <c r="O83" s="428"/>
      <c r="P83" s="428"/>
      <c r="Q83" s="428">
        <f>Q69+Q70+Q71+Q72+Q76+Q77+Q78+Q82</f>
        <v>27976</v>
      </c>
      <c r="R83" s="11"/>
      <c r="S83" s="56"/>
      <c r="T83" s="23"/>
      <c r="U83" s="11"/>
      <c r="V83" s="11"/>
      <c r="W83" s="11">
        <f>W69+W70+W71+W72+W76+W77+W78+W82</f>
        <v>113476</v>
      </c>
      <c r="X83" s="398"/>
      <c r="Y83" s="399"/>
      <c r="Z83" s="400"/>
      <c r="AA83" s="428"/>
      <c r="AB83" s="428"/>
      <c r="AC83" s="428">
        <f>AC69+AC70+AC71+AC72+AC76+AC77+AC78+AC82</f>
        <v>92551</v>
      </c>
      <c r="AD83" s="398"/>
      <c r="AE83" s="399"/>
      <c r="AF83" s="400"/>
      <c r="AG83" s="428"/>
      <c r="AH83" s="428"/>
      <c r="AI83" s="429">
        <f>AI69+AI70+AI71+AI72+AI76+AI77+AI78+AI82</f>
        <v>0</v>
      </c>
      <c r="AJ83" s="554">
        <f t="shared" ref="AJ83:AJ88" si="50">K83+Q83+W83+AC83+AI83</f>
        <v>248554</v>
      </c>
      <c r="AK83" s="79"/>
    </row>
    <row r="84" spans="1:37" s="40" customFormat="1" ht="18.600000000000001" thickBot="1" x14ac:dyDescent="0.35">
      <c r="A84" s="47" t="s">
        <v>201</v>
      </c>
      <c r="B84" s="44"/>
      <c r="C84" s="44"/>
      <c r="D84" s="44"/>
      <c r="E84" s="43"/>
      <c r="F84" s="57"/>
      <c r="G84" s="58"/>
      <c r="H84" s="42"/>
      <c r="I84" s="43"/>
      <c r="J84" s="43"/>
      <c r="K84" s="43">
        <f>K43+K47+K51+K59+K83</f>
        <v>33199</v>
      </c>
      <c r="L84" s="57"/>
      <c r="M84" s="58"/>
      <c r="N84" s="42"/>
      <c r="O84" s="43"/>
      <c r="P84" s="43"/>
      <c r="Q84" s="43">
        <f>Q43+Q47+Q51+Q59+Q83</f>
        <v>46936.959999999999</v>
      </c>
      <c r="R84" s="57"/>
      <c r="S84" s="58"/>
      <c r="T84" s="42"/>
      <c r="U84" s="43"/>
      <c r="V84" s="43"/>
      <c r="W84" s="43">
        <f>W43+W47+W51+W59+W83</f>
        <v>251076.17920000001</v>
      </c>
      <c r="X84" s="57"/>
      <c r="Y84" s="58"/>
      <c r="Z84" s="42"/>
      <c r="AA84" s="43"/>
      <c r="AB84" s="43"/>
      <c r="AC84" s="43">
        <f>AC43+AC47+AC51+AC59+AC83</f>
        <v>218563.182784</v>
      </c>
      <c r="AD84" s="57"/>
      <c r="AE84" s="58"/>
      <c r="AF84" s="42"/>
      <c r="AG84" s="43"/>
      <c r="AH84" s="43"/>
      <c r="AI84" s="41">
        <f>AI43+AI47+AI51+AI59+AI83</f>
        <v>0</v>
      </c>
      <c r="AJ84" s="557">
        <f t="shared" si="50"/>
        <v>549775.32198400004</v>
      </c>
      <c r="AK84" s="79"/>
    </row>
    <row r="85" spans="1:37" s="32" customFormat="1" ht="15" thickBot="1" x14ac:dyDescent="0.35">
      <c r="A85" s="27" t="s">
        <v>202</v>
      </c>
      <c r="B85" s="28"/>
      <c r="C85" s="28"/>
      <c r="D85" s="28"/>
      <c r="E85" s="29"/>
      <c r="F85" s="59"/>
      <c r="G85" s="60"/>
      <c r="H85" s="30"/>
      <c r="I85" s="29"/>
      <c r="J85" s="29"/>
      <c r="K85" s="29">
        <f>K84-K82-K53-K47</f>
        <v>33199</v>
      </c>
      <c r="L85" s="59"/>
      <c r="M85" s="60"/>
      <c r="N85" s="30"/>
      <c r="O85" s="29"/>
      <c r="P85" s="29"/>
      <c r="Q85" s="29">
        <f>Q84-Q82-Q53-Q47</f>
        <v>46936.959999999999</v>
      </c>
      <c r="R85" s="59"/>
      <c r="S85" s="60"/>
      <c r="T85" s="30"/>
      <c r="U85" s="29"/>
      <c r="V85" s="29"/>
      <c r="W85" s="29">
        <f>W84-W82-W53-W47</f>
        <v>237076.17920000001</v>
      </c>
      <c r="X85" s="59"/>
      <c r="Y85" s="60"/>
      <c r="Z85" s="30"/>
      <c r="AA85" s="29"/>
      <c r="AB85" s="29"/>
      <c r="AC85" s="29">
        <f>AC84-AC82-AC53-AC47</f>
        <v>218563.182784</v>
      </c>
      <c r="AD85" s="59"/>
      <c r="AE85" s="60"/>
      <c r="AF85" s="30"/>
      <c r="AG85" s="29"/>
      <c r="AH85" s="29"/>
      <c r="AI85" s="31">
        <f>AI84-AI82-AI53-AI47</f>
        <v>0</v>
      </c>
      <c r="AJ85" s="558">
        <f t="shared" si="50"/>
        <v>535775.32198400004</v>
      </c>
      <c r="AK85" s="79"/>
    </row>
    <row r="86" spans="1:37" s="32" customFormat="1" ht="16.2" thickBot="1" x14ac:dyDescent="0.35">
      <c r="A86" s="33" t="s">
        <v>232</v>
      </c>
      <c r="B86" s="28"/>
      <c r="C86" s="28"/>
      <c r="D86" s="28"/>
      <c r="E86" s="29"/>
      <c r="F86" s="59"/>
      <c r="G86" s="60"/>
      <c r="H86" s="30"/>
      <c r="I86" s="29"/>
      <c r="J86" s="29"/>
      <c r="K86" s="516">
        <f>ROUND(K85*0.0388,0)</f>
        <v>1288</v>
      </c>
      <c r="L86" s="59"/>
      <c r="M86" s="60"/>
      <c r="N86" s="30"/>
      <c r="O86" s="29"/>
      <c r="P86" s="29"/>
      <c r="Q86" s="516">
        <f>ROUND(Q85*0.0388,0)</f>
        <v>1821</v>
      </c>
      <c r="R86" s="59"/>
      <c r="S86" s="60"/>
      <c r="T86" s="30"/>
      <c r="U86" s="29"/>
      <c r="V86" s="29"/>
      <c r="W86" s="516">
        <f>ROUND(W85*0.0388,0)</f>
        <v>9199</v>
      </c>
      <c r="X86" s="59"/>
      <c r="Y86" s="60"/>
      <c r="Z86" s="30"/>
      <c r="AA86" s="29"/>
      <c r="AB86" s="29"/>
      <c r="AC86" s="516">
        <f>ROUND(AC85*0.0388,0)</f>
        <v>8480</v>
      </c>
      <c r="AD86" s="59"/>
      <c r="AE86" s="60"/>
      <c r="AF86" s="30"/>
      <c r="AG86" s="29"/>
      <c r="AH86" s="29"/>
      <c r="AI86" s="31"/>
      <c r="AJ86" s="516">
        <f t="shared" si="50"/>
        <v>20788</v>
      </c>
      <c r="AK86" s="79"/>
    </row>
    <row r="87" spans="1:37" s="38" customFormat="1" ht="16.2" thickBot="1" x14ac:dyDescent="0.35">
      <c r="A87" s="34" t="s">
        <v>233</v>
      </c>
      <c r="B87" s="34"/>
      <c r="C87" s="34"/>
      <c r="D87" s="34"/>
      <c r="E87" s="35"/>
      <c r="F87" s="61"/>
      <c r="G87" s="62"/>
      <c r="H87" s="36"/>
      <c r="I87" s="35"/>
      <c r="J87" s="35"/>
      <c r="K87" s="517">
        <f>SUM(K85+K86)*0.169</f>
        <v>5828.3030000000008</v>
      </c>
      <c r="L87" s="61"/>
      <c r="M87" s="62"/>
      <c r="N87" s="36"/>
      <c r="O87" s="35"/>
      <c r="P87" s="35"/>
      <c r="Q87" s="517">
        <f>SUM(Q85+Q86)*0.169</f>
        <v>8240.0952400000006</v>
      </c>
      <c r="R87" s="61"/>
      <c r="S87" s="62"/>
      <c r="T87" s="36"/>
      <c r="U87" s="35"/>
      <c r="V87" s="35"/>
      <c r="W87" s="517">
        <f>SUM(W85+W86)*0.169</f>
        <v>41620.505284800005</v>
      </c>
      <c r="X87" s="61"/>
      <c r="Y87" s="62"/>
      <c r="Z87" s="36"/>
      <c r="AA87" s="35"/>
      <c r="AB87" s="35"/>
      <c r="AC87" s="517">
        <f>SUM(AC85+AC86)*0.169</f>
        <v>38370.297890496004</v>
      </c>
      <c r="AD87" s="61"/>
      <c r="AE87" s="62"/>
      <c r="AF87" s="36"/>
      <c r="AG87" s="35"/>
      <c r="AH87" s="35"/>
      <c r="AI87" s="37">
        <f>AI85*$E$15</f>
        <v>0</v>
      </c>
      <c r="AJ87" s="517">
        <f t="shared" si="50"/>
        <v>94059.201415296004</v>
      </c>
      <c r="AK87" s="79"/>
    </row>
    <row r="88" spans="1:37" s="38" customFormat="1" ht="16.2" thickBot="1" x14ac:dyDescent="0.35">
      <c r="A88" s="524" t="s">
        <v>234</v>
      </c>
      <c r="B88" s="525"/>
      <c r="C88" s="525"/>
      <c r="D88" s="525"/>
      <c r="E88" s="526"/>
      <c r="F88" s="527"/>
      <c r="G88" s="528"/>
      <c r="H88" s="529"/>
      <c r="I88" s="530"/>
      <c r="J88" s="530"/>
      <c r="K88" s="531">
        <f>K86+K87</f>
        <v>7116.3030000000008</v>
      </c>
      <c r="L88" s="527"/>
      <c r="M88" s="528"/>
      <c r="N88" s="529"/>
      <c r="O88" s="530"/>
      <c r="P88" s="530"/>
      <c r="Q88" s="531">
        <f>Q86+Q87</f>
        <v>10061.095240000001</v>
      </c>
      <c r="R88" s="527"/>
      <c r="S88" s="528"/>
      <c r="T88" s="529"/>
      <c r="U88" s="530"/>
      <c r="V88" s="530"/>
      <c r="W88" s="531">
        <f>W86+W87</f>
        <v>50819.505284800005</v>
      </c>
      <c r="X88" s="527"/>
      <c r="Y88" s="528"/>
      <c r="Z88" s="529"/>
      <c r="AA88" s="530"/>
      <c r="AB88" s="530"/>
      <c r="AC88" s="531">
        <f>AC86+AC87</f>
        <v>46850.297890496004</v>
      </c>
      <c r="AD88" s="519"/>
      <c r="AE88" s="520"/>
      <c r="AF88" s="521"/>
      <c r="AG88" s="522"/>
      <c r="AH88" s="522"/>
      <c r="AI88" s="523"/>
      <c r="AJ88" s="531">
        <f t="shared" si="50"/>
        <v>114847.201415296</v>
      </c>
      <c r="AK88" s="79"/>
    </row>
    <row r="89" spans="1:37" s="46" customFormat="1" ht="18.600000000000001" thickBot="1" x14ac:dyDescent="0.35">
      <c r="A89" s="48" t="s">
        <v>23</v>
      </c>
      <c r="B89" s="39"/>
      <c r="C89" s="39"/>
      <c r="D89" s="39"/>
      <c r="E89" s="45"/>
      <c r="F89" s="51"/>
      <c r="G89" s="52"/>
      <c r="H89" s="53"/>
      <c r="I89" s="54"/>
      <c r="J89" s="54"/>
      <c r="K89" s="518">
        <f>K88+K84</f>
        <v>40315.303</v>
      </c>
      <c r="L89" s="51"/>
      <c r="M89" s="52"/>
      <c r="N89" s="53"/>
      <c r="O89" s="54"/>
      <c r="P89" s="54"/>
      <c r="Q89" s="518">
        <f>Q88+Q84</f>
        <v>56998.055240000002</v>
      </c>
      <c r="R89" s="51"/>
      <c r="S89" s="52"/>
      <c r="T89" s="53"/>
      <c r="U89" s="54"/>
      <c r="V89" s="54"/>
      <c r="W89" s="518">
        <f>W84+W88</f>
        <v>301895.68448480003</v>
      </c>
      <c r="X89" s="51"/>
      <c r="Y89" s="52"/>
      <c r="Z89" s="53"/>
      <c r="AA89" s="54"/>
      <c r="AB89" s="54"/>
      <c r="AC89" s="518">
        <f>AC84+AC88</f>
        <v>265413.48067449604</v>
      </c>
      <c r="AD89" s="51"/>
      <c r="AE89" s="52"/>
      <c r="AF89" s="53"/>
      <c r="AG89" s="54"/>
      <c r="AH89" s="54"/>
      <c r="AI89" s="87">
        <f>AI84+AI87</f>
        <v>0</v>
      </c>
      <c r="AJ89" s="518">
        <f>AJ84+AJ88</f>
        <v>664622.52339929598</v>
      </c>
      <c r="AK89" s="79"/>
    </row>
    <row r="90" spans="1:37" x14ac:dyDescent="0.3">
      <c r="E90" s="2"/>
      <c r="F90" s="2"/>
      <c r="I90" s="2"/>
      <c r="J90" s="2"/>
      <c r="K90" s="2"/>
      <c r="L90" s="2"/>
      <c r="O90" s="2"/>
      <c r="P90" s="2"/>
      <c r="Q90" s="2"/>
      <c r="R90" s="2"/>
      <c r="U90" s="2"/>
      <c r="V90" s="2"/>
      <c r="W90" s="2"/>
      <c r="X90" s="2"/>
      <c r="AA90" s="2"/>
      <c r="AB90" s="2"/>
      <c r="AC90" s="2"/>
      <c r="AD90" s="2"/>
      <c r="AG90" s="2"/>
      <c r="AH90" s="2"/>
      <c r="AI90" s="2"/>
    </row>
    <row r="91" spans="1:37" s="5" customFormat="1" x14ac:dyDescent="0.3">
      <c r="A91" s="17" t="s">
        <v>235</v>
      </c>
      <c r="B91" s="17"/>
      <c r="C91" s="17"/>
      <c r="D91" s="17"/>
      <c r="E91" s="79"/>
      <c r="F91" s="79"/>
      <c r="G91" s="80"/>
      <c r="H91" s="81"/>
      <c r="I91" s="79"/>
      <c r="J91" s="79"/>
      <c r="K91" s="79">
        <f>IF(K89&lt;25000,K89,25000)</f>
        <v>25000</v>
      </c>
      <c r="L91" s="79"/>
      <c r="M91" s="80"/>
      <c r="N91" s="88"/>
      <c r="O91" s="79"/>
      <c r="P91" s="79"/>
      <c r="Q91" s="79">
        <f>IF(+K91=25000,0,IF(+K89+Q89&lt;25000,Q89,25000-K91))</f>
        <v>0</v>
      </c>
      <c r="R91" s="79"/>
      <c r="S91" s="80"/>
      <c r="T91" s="81"/>
      <c r="U91" s="79"/>
      <c r="V91" s="79"/>
      <c r="W91" s="79">
        <f>IF(K91+Q91=25000,0,IF(K89+Q89+W89&lt;25000,W89,25000-K91-Q91))</f>
        <v>0</v>
      </c>
      <c r="X91" s="79"/>
      <c r="Y91" s="80"/>
      <c r="Z91" s="81"/>
      <c r="AA91" s="79"/>
      <c r="AB91" s="79"/>
      <c r="AC91" s="79">
        <f>IF(K91+Q91+W91=25000,0,IF(K89+Q89+W89+AC89&lt;25000,AC89,25000-K91-Q91-W91))</f>
        <v>0</v>
      </c>
      <c r="AD91" s="79"/>
      <c r="AE91" s="80"/>
      <c r="AF91" s="81"/>
      <c r="AG91" s="79"/>
      <c r="AH91" s="79"/>
      <c r="AI91" s="79">
        <f>IF(K91+Q91+W91+AC91=25000,0,IF(K89+Q89+W89+AC89+AI89&lt;25000,AI89,25000-K91-Q91-W91-AC91))</f>
        <v>0</v>
      </c>
    </row>
    <row r="92" spans="1:37" x14ac:dyDescent="0.3">
      <c r="E92" s="2"/>
      <c r="F92" s="2"/>
      <c r="I92" s="2"/>
      <c r="J92" s="2"/>
      <c r="K92" s="2"/>
      <c r="L92" s="2"/>
      <c r="O92" s="2"/>
      <c r="P92" s="2"/>
      <c r="Q92" s="2"/>
      <c r="R92" s="2"/>
      <c r="U92" s="2"/>
      <c r="V92" s="2"/>
      <c r="W92" s="2"/>
      <c r="X92" s="2"/>
      <c r="AA92" s="2"/>
      <c r="AB92" s="2"/>
      <c r="AC92" s="2"/>
      <c r="AD92" s="2"/>
      <c r="AG92" s="2"/>
      <c r="AH92" s="2"/>
      <c r="AI92" s="2"/>
    </row>
    <row r="93" spans="1:37" x14ac:dyDescent="0.3">
      <c r="E93" s="2"/>
      <c r="F93" s="2"/>
      <c r="I93" s="2"/>
      <c r="J93" s="2"/>
      <c r="K93" s="2">
        <f>K89-25000</f>
        <v>15315.303</v>
      </c>
      <c r="L93" s="2"/>
      <c r="M93" s="2"/>
      <c r="N93" s="2"/>
      <c r="O93" s="2"/>
      <c r="P93" s="2"/>
      <c r="Q93" s="2">
        <f>Q89</f>
        <v>56998.055240000002</v>
      </c>
      <c r="R93" s="2"/>
      <c r="S93" s="2"/>
      <c r="T93" s="2"/>
      <c r="U93" s="2"/>
      <c r="V93" s="2"/>
      <c r="W93" s="2">
        <f>W89</f>
        <v>301895.68448480003</v>
      </c>
      <c r="X93" s="2"/>
      <c r="Y93" s="2"/>
      <c r="Z93" s="2"/>
      <c r="AA93" s="2"/>
      <c r="AB93" s="2"/>
      <c r="AC93" s="2">
        <f>AC89</f>
        <v>265413.48067449604</v>
      </c>
      <c r="AD93" s="2">
        <f t="shared" ref="AD93:AI93" si="51">AD89-25000</f>
        <v>-25000</v>
      </c>
      <c r="AE93" s="2">
        <f t="shared" si="51"/>
        <v>-25000</v>
      </c>
      <c r="AF93" s="2">
        <f t="shared" si="51"/>
        <v>-25000</v>
      </c>
      <c r="AG93" s="2">
        <f t="shared" si="51"/>
        <v>-25000</v>
      </c>
      <c r="AH93" s="2">
        <f t="shared" si="51"/>
        <v>-25000</v>
      </c>
      <c r="AI93" s="2">
        <f t="shared" si="51"/>
        <v>-25000</v>
      </c>
    </row>
    <row r="94" spans="1:37" x14ac:dyDescent="0.3">
      <c r="E94" s="2"/>
      <c r="F94" s="2"/>
      <c r="I94" s="2"/>
      <c r="J94" s="2"/>
      <c r="K94" s="2"/>
      <c r="L94" s="2"/>
      <c r="O94" s="2"/>
      <c r="P94" s="2"/>
      <c r="Q94" s="2"/>
      <c r="R94" s="2"/>
      <c r="U94" s="2"/>
      <c r="V94" s="2"/>
      <c r="W94" s="2"/>
      <c r="X94" s="2"/>
      <c r="AA94" s="2"/>
      <c r="AB94" s="2"/>
      <c r="AC94" s="2"/>
      <c r="AD94" s="2"/>
      <c r="AG94" s="2"/>
      <c r="AH94" s="2"/>
      <c r="AI94" s="2"/>
    </row>
    <row r="95" spans="1:37" x14ac:dyDescent="0.3">
      <c r="E95" s="2"/>
      <c r="F95" s="2"/>
      <c r="I95" s="2"/>
      <c r="J95" s="2"/>
      <c r="K95" s="2"/>
      <c r="L95" s="2"/>
      <c r="O95" s="2"/>
      <c r="P95" s="2"/>
      <c r="Q95" s="2"/>
      <c r="R95" s="2"/>
      <c r="U95" s="2"/>
      <c r="V95" s="2"/>
      <c r="W95" s="2"/>
      <c r="X95" s="2"/>
      <c r="AA95" s="2"/>
      <c r="AB95" s="2"/>
      <c r="AC95" s="2"/>
      <c r="AD95" s="2"/>
      <c r="AG95" s="2"/>
      <c r="AH95" s="2"/>
      <c r="AI95" s="2"/>
    </row>
    <row r="96" spans="1:37" x14ac:dyDescent="0.3">
      <c r="E96" s="2"/>
      <c r="F96" s="2"/>
      <c r="I96" s="2"/>
      <c r="J96" s="2"/>
      <c r="K96" s="2"/>
      <c r="L96" s="2"/>
      <c r="O96" s="2"/>
      <c r="P96" s="2"/>
      <c r="Q96" s="2"/>
      <c r="R96" s="2"/>
      <c r="U96" s="2"/>
      <c r="V96" s="2"/>
      <c r="W96" s="2"/>
      <c r="X96" s="2"/>
      <c r="AA96" s="2"/>
      <c r="AB96" s="2"/>
      <c r="AC96" s="2"/>
      <c r="AD96" s="2"/>
      <c r="AG96" s="2"/>
      <c r="AH96" s="2"/>
      <c r="AI96" s="2"/>
    </row>
    <row r="97" spans="5:35" x14ac:dyDescent="0.3">
      <c r="E97" s="2"/>
      <c r="F97" s="2"/>
      <c r="I97" s="2"/>
      <c r="J97" s="2"/>
      <c r="K97" s="2"/>
      <c r="L97" s="2"/>
      <c r="O97" s="2"/>
      <c r="P97" s="2"/>
      <c r="Q97" s="2"/>
      <c r="R97" s="2"/>
      <c r="U97" s="2"/>
      <c r="V97" s="2"/>
      <c r="W97" s="2"/>
      <c r="X97" s="2"/>
      <c r="AA97" s="2"/>
      <c r="AB97" s="2"/>
      <c r="AC97" s="2"/>
      <c r="AD97" s="2"/>
      <c r="AG97" s="2"/>
      <c r="AH97" s="2"/>
      <c r="AI97" s="2"/>
    </row>
    <row r="98" spans="5:35" x14ac:dyDescent="0.3">
      <c r="E98" s="2"/>
      <c r="F98" s="2"/>
      <c r="I98" s="2"/>
      <c r="J98" s="2"/>
      <c r="K98" s="2"/>
      <c r="L98" s="2"/>
      <c r="O98" s="2"/>
      <c r="P98" s="2"/>
      <c r="Q98" s="2"/>
      <c r="R98" s="2"/>
      <c r="U98" s="2"/>
      <c r="V98" s="2"/>
      <c r="W98" s="2"/>
      <c r="X98" s="2"/>
      <c r="AA98" s="2"/>
      <c r="AB98" s="2"/>
      <c r="AC98" s="2"/>
      <c r="AD98" s="2"/>
      <c r="AG98" s="2"/>
      <c r="AH98" s="2"/>
      <c r="AI98" s="2"/>
    </row>
    <row r="99" spans="5:35" x14ac:dyDescent="0.3">
      <c r="E99" s="2"/>
      <c r="F99" s="2"/>
      <c r="I99" s="2"/>
      <c r="J99" s="2"/>
      <c r="K99" s="2"/>
      <c r="L99" s="2"/>
      <c r="O99" s="2"/>
      <c r="P99" s="2"/>
      <c r="Q99" s="2"/>
      <c r="R99" s="2"/>
      <c r="U99" s="2"/>
      <c r="V99" s="2"/>
      <c r="W99" s="2"/>
      <c r="X99" s="2"/>
      <c r="AA99" s="2"/>
      <c r="AB99" s="2"/>
      <c r="AC99" s="2"/>
      <c r="AD99" s="2"/>
      <c r="AG99" s="2"/>
      <c r="AH99" s="2"/>
      <c r="AI99" s="2"/>
    </row>
    <row r="100" spans="5:35" x14ac:dyDescent="0.3">
      <c r="E100" s="2"/>
      <c r="F100" s="2"/>
      <c r="I100" s="2"/>
      <c r="J100" s="2"/>
      <c r="K100" s="2"/>
      <c r="L100" s="2"/>
      <c r="O100" s="2"/>
      <c r="P100" s="2"/>
      <c r="Q100" s="2"/>
      <c r="R100" s="2"/>
      <c r="U100" s="2"/>
      <c r="V100" s="2"/>
      <c r="W100" s="2"/>
      <c r="X100" s="2"/>
      <c r="AA100" s="2"/>
      <c r="AB100" s="2"/>
      <c r="AC100" s="2"/>
      <c r="AD100" s="2"/>
      <c r="AG100" s="2"/>
      <c r="AH100" s="2"/>
      <c r="AI100" s="2"/>
    </row>
    <row r="101" spans="5:35" x14ac:dyDescent="0.3">
      <c r="E101" s="2"/>
      <c r="F101" s="2"/>
      <c r="I101" s="2"/>
      <c r="J101" s="2"/>
      <c r="K101" s="2"/>
      <c r="L101" s="2"/>
      <c r="O101" s="2"/>
      <c r="P101" s="2"/>
      <c r="Q101" s="2"/>
      <c r="R101" s="2"/>
      <c r="U101" s="2"/>
      <c r="V101" s="2"/>
      <c r="W101" s="2"/>
      <c r="X101" s="2"/>
      <c r="AA101" s="2"/>
      <c r="AB101" s="2"/>
      <c r="AC101" s="2"/>
      <c r="AD101" s="2"/>
      <c r="AG101" s="2"/>
      <c r="AH101" s="2"/>
      <c r="AI101" s="2"/>
    </row>
    <row r="102" spans="5:35" x14ac:dyDescent="0.3">
      <c r="E102" s="2"/>
      <c r="F102" s="2"/>
      <c r="I102" s="2"/>
      <c r="J102" s="2"/>
      <c r="K102" s="2"/>
      <c r="L102" s="2"/>
      <c r="O102" s="2"/>
      <c r="P102" s="2"/>
      <c r="Q102" s="2"/>
      <c r="R102" s="2"/>
      <c r="U102" s="2"/>
      <c r="V102" s="2"/>
      <c r="W102" s="2"/>
      <c r="X102" s="2"/>
      <c r="AA102" s="2"/>
      <c r="AB102" s="2"/>
      <c r="AC102" s="2"/>
      <c r="AD102" s="2"/>
      <c r="AG102" s="2"/>
      <c r="AH102" s="2"/>
      <c r="AI102" s="2"/>
    </row>
    <row r="103" spans="5:35" x14ac:dyDescent="0.3">
      <c r="E103" s="2"/>
      <c r="F103" s="2"/>
      <c r="I103" s="2"/>
      <c r="J103" s="2"/>
      <c r="K103" s="2"/>
      <c r="L103" s="2"/>
      <c r="O103" s="2"/>
      <c r="P103" s="2"/>
      <c r="Q103" s="2"/>
      <c r="R103" s="2"/>
      <c r="U103" s="2"/>
      <c r="V103" s="2"/>
      <c r="W103" s="2"/>
      <c r="X103" s="2"/>
      <c r="AA103" s="2"/>
      <c r="AB103" s="2"/>
      <c r="AC103" s="2"/>
      <c r="AD103" s="2"/>
      <c r="AG103" s="2"/>
      <c r="AH103" s="2"/>
      <c r="AI103" s="2"/>
    </row>
    <row r="104" spans="5:35" x14ac:dyDescent="0.3">
      <c r="E104" s="2"/>
      <c r="F104" s="2"/>
      <c r="I104" s="2"/>
      <c r="J104" s="2"/>
      <c r="K104" s="2"/>
      <c r="L104" s="2"/>
      <c r="O104" s="2"/>
      <c r="P104" s="2"/>
      <c r="Q104" s="2"/>
      <c r="R104" s="2"/>
      <c r="U104" s="2"/>
      <c r="V104" s="2"/>
      <c r="W104" s="2"/>
      <c r="X104" s="2"/>
      <c r="AA104" s="2"/>
      <c r="AB104" s="2"/>
      <c r="AC104" s="2"/>
      <c r="AD104" s="2"/>
      <c r="AG104" s="2"/>
      <c r="AH104" s="2"/>
      <c r="AI104" s="2"/>
    </row>
  </sheetData>
  <mergeCells count="21">
    <mergeCell ref="B9:E9"/>
    <mergeCell ref="A10:B10"/>
    <mergeCell ref="D10:E10"/>
    <mergeCell ref="B8:E8"/>
    <mergeCell ref="B1:E1"/>
    <mergeCell ref="B3:E3"/>
    <mergeCell ref="B5:E5"/>
    <mergeCell ref="B6:E6"/>
    <mergeCell ref="B7:E7"/>
    <mergeCell ref="B4:E4"/>
    <mergeCell ref="B2:E2"/>
    <mergeCell ref="AD17:AI17"/>
    <mergeCell ref="L18:Q18"/>
    <mergeCell ref="R18:W18"/>
    <mergeCell ref="X18:AC18"/>
    <mergeCell ref="AD18:AI18"/>
    <mergeCell ref="F18:K18"/>
    <mergeCell ref="F17:K17"/>
    <mergeCell ref="L17:Q17"/>
    <mergeCell ref="R17:W17"/>
    <mergeCell ref="X17:AC17"/>
  </mergeCells>
  <conditionalFormatting sqref="A21">
    <cfRule type="cellIs" dxfId="8" priority="1" operator="equal">
      <formula>0</formula>
    </cfRule>
  </conditionalFormatting>
  <conditionalFormatting sqref="B1:E3 B4 B5:E9">
    <cfRule type="cellIs" dxfId="7" priority="2" operator="equal">
      <formula>0</formula>
    </cfRule>
  </conditionalFormatting>
  <dataValidations disablePrompts="1" count="1">
    <dataValidation type="list" allowBlank="1" showInputMessage="1" showErrorMessage="1" sqref="C21:C31 C33:C42" xr:uid="{00000000-0002-0000-0200-000000000000}">
      <formula1>$A$9:$A$12</formula1>
    </dataValidation>
  </dataValidations>
  <pageMargins left="0.1" right="0.1" top="0.1" bottom="0.1" header="0.3" footer="0.3"/>
  <pageSetup scale="56" orientation="landscape" horizontalDpi="1200" verticalDpi="12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5" tint="0.39997558519241921"/>
    <pageSetUpPr fitToPage="1"/>
  </sheetPr>
  <dimension ref="A1:AJ99"/>
  <sheetViews>
    <sheetView showGridLines="0" topLeftCell="C67" zoomScaleNormal="100" zoomScalePageLayoutView="70" workbookViewId="0">
      <selection activeCell="N95" sqref="N95"/>
    </sheetView>
  </sheetViews>
  <sheetFormatPr defaultColWidth="8.88671875" defaultRowHeight="14.4" outlineLevelRow="1" outlineLevelCol="1" x14ac:dyDescent="0.3"/>
  <cols>
    <col min="1" max="1" width="23" style="6" customWidth="1"/>
    <col min="2" max="2" width="18.44140625" style="6" bestFit="1" customWidth="1"/>
    <col min="3" max="3" width="12.44140625" style="6" bestFit="1" customWidth="1"/>
    <col min="4" max="4" width="9.5546875" style="6" customWidth="1"/>
    <col min="5" max="5" width="12.44140625" style="1" bestFit="1" customWidth="1"/>
    <col min="6" max="6" width="11.5546875" style="1" customWidth="1"/>
    <col min="7" max="7" width="11.88671875" style="26" customWidth="1"/>
    <col min="8" max="8" width="11.44140625" style="20" bestFit="1" customWidth="1"/>
    <col min="9" max="9" width="11.88671875" style="1" customWidth="1"/>
    <col min="10" max="10" width="9.88671875" style="1" customWidth="1"/>
    <col min="11" max="11" width="11" style="1" customWidth="1"/>
    <col min="12" max="12" width="11.5546875" style="1" customWidth="1" outlineLevel="1"/>
    <col min="13" max="13" width="11.88671875" style="26" customWidth="1" outlineLevel="1"/>
    <col min="14" max="14" width="11.109375" style="22" customWidth="1" outlineLevel="1"/>
    <col min="15" max="15" width="11.88671875" style="1" customWidth="1" outlineLevel="1"/>
    <col min="16" max="16" width="9.88671875" style="1" customWidth="1" outlineLevel="1"/>
    <col min="17" max="17" width="11" style="1" customWidth="1" outlineLevel="1"/>
    <col min="18" max="18" width="11.5546875" style="1" customWidth="1" outlineLevel="1"/>
    <col min="19" max="19" width="11.88671875" style="26" customWidth="1" outlineLevel="1"/>
    <col min="20" max="20" width="11.109375" style="20" customWidth="1" outlineLevel="1"/>
    <col min="21" max="21" width="11.88671875" style="1" customWidth="1" outlineLevel="1"/>
    <col min="22" max="22" width="9.88671875" style="1" customWidth="1" outlineLevel="1"/>
    <col min="23" max="23" width="11" style="1" customWidth="1" outlineLevel="1"/>
    <col min="24" max="24" width="11.5546875" style="1" customWidth="1" outlineLevel="1"/>
    <col min="25" max="25" width="11.88671875" style="26" customWidth="1" outlineLevel="1"/>
    <col min="26" max="26" width="11.109375" style="20" customWidth="1" outlineLevel="1"/>
    <col min="27" max="27" width="11.88671875" style="1" customWidth="1" outlineLevel="1"/>
    <col min="28" max="28" width="9.88671875" style="1" customWidth="1" outlineLevel="1"/>
    <col min="29" max="29" width="11" style="1" customWidth="1" outlineLevel="1"/>
    <col min="30" max="30" width="11.5546875" style="1" hidden="1" customWidth="1" outlineLevel="1"/>
    <col min="31" max="31" width="11.88671875" style="26" hidden="1" customWidth="1" outlineLevel="1"/>
    <col min="32" max="32" width="11.109375" style="20" hidden="1" customWidth="1" outlineLevel="1"/>
    <col min="33" max="33" width="11.88671875" style="1" hidden="1" customWidth="1" outlineLevel="1"/>
    <col min="34" max="34" width="9.88671875" style="1" hidden="1" customWidth="1" outlineLevel="1"/>
    <col min="35" max="35" width="11" style="1" hidden="1" customWidth="1" outlineLevel="1"/>
    <col min="36" max="36" width="17.44140625" style="1" customWidth="1"/>
    <col min="37" max="16384" width="8.88671875" style="1"/>
  </cols>
  <sheetData>
    <row r="1" spans="1:32" s="158" customFormat="1" ht="15" customHeight="1" x14ac:dyDescent="0.3">
      <c r="A1" s="126" t="s">
        <v>4</v>
      </c>
      <c r="B1" s="698" t="str">
        <f>'Primary Site'!$B$1</f>
        <v>DoD CDMRP Epilepsy Research Program Research Partnership Award</v>
      </c>
      <c r="C1" s="698"/>
      <c r="D1" s="698"/>
      <c r="E1" s="698"/>
      <c r="F1" s="154"/>
      <c r="G1" s="154"/>
      <c r="H1" s="154"/>
      <c r="I1" s="154"/>
      <c r="J1" s="154"/>
      <c r="M1" s="156"/>
      <c r="N1" s="186"/>
      <c r="S1" s="156"/>
      <c r="T1" s="185"/>
      <c r="Y1" s="156"/>
      <c r="Z1" s="185"/>
      <c r="AE1" s="156"/>
      <c r="AF1" s="185"/>
    </row>
    <row r="2" spans="1:32" s="158" customFormat="1" x14ac:dyDescent="0.3">
      <c r="A2" s="126" t="s">
        <v>0</v>
      </c>
      <c r="B2" s="698" t="str">
        <f>'Primary Site'!$B$2</f>
        <v>MINUTE</v>
      </c>
      <c r="C2" s="698"/>
      <c r="D2" s="698"/>
      <c r="E2" s="698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6"/>
      <c r="S2" s="156"/>
      <c r="T2" s="185"/>
      <c r="Y2" s="156"/>
      <c r="Z2" s="185"/>
      <c r="AE2" s="156"/>
      <c r="AF2" s="185"/>
    </row>
    <row r="3" spans="1:32" s="158" customFormat="1" x14ac:dyDescent="0.3">
      <c r="A3" s="126" t="s">
        <v>207</v>
      </c>
      <c r="B3" s="696" t="s">
        <v>236</v>
      </c>
      <c r="C3" s="696"/>
      <c r="D3" s="696"/>
      <c r="E3" s="696"/>
      <c r="G3" s="154"/>
      <c r="H3" s="154"/>
      <c r="I3" s="154"/>
      <c r="M3" s="156"/>
      <c r="N3" s="186"/>
      <c r="S3" s="156"/>
      <c r="T3" s="185"/>
      <c r="Y3" s="156"/>
      <c r="Z3" s="185"/>
      <c r="AE3" s="156"/>
      <c r="AF3" s="185"/>
    </row>
    <row r="4" spans="1:32" s="158" customFormat="1" x14ac:dyDescent="0.3">
      <c r="A4" s="126" t="s">
        <v>209</v>
      </c>
      <c r="B4" s="275" t="s">
        <v>237</v>
      </c>
      <c r="C4" s="275"/>
      <c r="D4" s="275"/>
      <c r="E4" s="275"/>
      <c r="G4" s="154"/>
      <c r="H4" s="154"/>
      <c r="I4" s="154"/>
      <c r="M4" s="156"/>
      <c r="N4" s="186"/>
      <c r="S4" s="156"/>
      <c r="T4" s="185"/>
      <c r="Y4" s="156"/>
      <c r="Z4" s="185"/>
      <c r="AE4" s="156"/>
      <c r="AF4" s="185"/>
    </row>
    <row r="5" spans="1:32" s="158" customFormat="1" outlineLevel="1" x14ac:dyDescent="0.3">
      <c r="A5" s="126" t="s">
        <v>40</v>
      </c>
      <c r="B5" s="699">
        <v>44105</v>
      </c>
      <c r="C5" s="696"/>
      <c r="D5" s="696"/>
      <c r="E5" s="696"/>
      <c r="G5" s="154"/>
      <c r="H5" s="154"/>
      <c r="I5" s="154"/>
      <c r="M5" s="156"/>
      <c r="N5" s="186"/>
      <c r="S5" s="156"/>
      <c r="T5" s="185"/>
      <c r="Y5" s="156"/>
      <c r="Z5" s="185"/>
      <c r="AE5" s="156"/>
      <c r="AF5" s="185"/>
    </row>
    <row r="6" spans="1:32" s="158" customFormat="1" ht="15.9" customHeight="1" outlineLevel="1" x14ac:dyDescent="0.3">
      <c r="A6" s="126" t="s">
        <v>41</v>
      </c>
      <c r="B6" s="696">
        <v>4</v>
      </c>
      <c r="C6" s="696"/>
      <c r="D6" s="696"/>
      <c r="E6" s="696"/>
      <c r="G6" s="154"/>
      <c r="H6" s="154"/>
      <c r="I6" s="154"/>
      <c r="K6" s="187"/>
      <c r="M6" s="156"/>
      <c r="N6" s="186"/>
      <c r="S6" s="156"/>
      <c r="T6" s="185"/>
      <c r="Y6" s="156"/>
      <c r="Z6" s="185"/>
      <c r="AE6" s="156"/>
      <c r="AF6" s="185"/>
    </row>
    <row r="7" spans="1:32" s="158" customFormat="1" ht="15.9" customHeight="1" outlineLevel="1" x14ac:dyDescent="0.3">
      <c r="A7" s="126" t="s">
        <v>6</v>
      </c>
      <c r="B7" s="696" t="str">
        <f>'Primary Site'!$B$6</f>
        <v xml:space="preserve">DoD  </v>
      </c>
      <c r="C7" s="696"/>
      <c r="D7" s="696"/>
      <c r="E7" s="696"/>
      <c r="F7" s="154"/>
      <c r="G7" s="154"/>
      <c r="H7" s="154"/>
      <c r="I7" s="154"/>
      <c r="K7" s="187"/>
      <c r="M7" s="156"/>
      <c r="N7" s="186"/>
      <c r="S7" s="156"/>
      <c r="T7" s="185"/>
      <c r="Y7" s="156"/>
      <c r="Z7" s="185"/>
      <c r="AE7" s="156"/>
      <c r="AF7" s="185"/>
    </row>
    <row r="8" spans="1:32" s="158" customFormat="1" ht="15" customHeight="1" outlineLevel="1" x14ac:dyDescent="0.3">
      <c r="A8" s="126" t="s">
        <v>43</v>
      </c>
      <c r="B8" s="696" t="str">
        <f>'Primary Site'!$B$7</f>
        <v>None</v>
      </c>
      <c r="C8" s="696"/>
      <c r="D8" s="696"/>
      <c r="E8" s="696"/>
      <c r="F8" s="154"/>
      <c r="G8" s="154"/>
      <c r="H8" s="154"/>
      <c r="I8" s="154"/>
      <c r="K8" s="187"/>
      <c r="M8" s="156"/>
      <c r="N8" s="186"/>
      <c r="S8" s="156"/>
      <c r="T8" s="185"/>
      <c r="Y8" s="156"/>
      <c r="Z8" s="185"/>
      <c r="AE8" s="156"/>
      <c r="AF8" s="185"/>
    </row>
    <row r="9" spans="1:32" s="158" customFormat="1" ht="15" customHeight="1" outlineLevel="1" thickBot="1" x14ac:dyDescent="0.35">
      <c r="A9" s="126" t="s">
        <v>7</v>
      </c>
      <c r="B9" s="697">
        <f>'Primary Site'!$B$8</f>
        <v>44033</v>
      </c>
      <c r="C9" s="697"/>
      <c r="D9" s="697"/>
      <c r="E9" s="697"/>
      <c r="G9" s="126"/>
      <c r="H9" s="126"/>
      <c r="I9" s="160"/>
      <c r="K9" s="187"/>
      <c r="M9" s="156"/>
      <c r="N9" s="186"/>
      <c r="S9" s="156"/>
      <c r="T9" s="185"/>
      <c r="Y9" s="156"/>
      <c r="Z9" s="185"/>
      <c r="AE9" s="156"/>
      <c r="AF9" s="185"/>
    </row>
    <row r="10" spans="1:32" s="158" customFormat="1" ht="15" outlineLevel="1" thickBot="1" x14ac:dyDescent="0.35">
      <c r="A10" s="658" t="s">
        <v>45</v>
      </c>
      <c r="B10" s="659"/>
      <c r="C10" s="175"/>
      <c r="D10" s="660" t="s">
        <v>46</v>
      </c>
      <c r="E10" s="661"/>
      <c r="F10" s="184" t="s">
        <v>47</v>
      </c>
      <c r="G10" s="175" t="s">
        <v>48</v>
      </c>
      <c r="H10" s="176" t="s">
        <v>49</v>
      </c>
      <c r="N10" s="186"/>
      <c r="S10" s="156"/>
      <c r="T10" s="185"/>
      <c r="Y10" s="156"/>
      <c r="Z10" s="185"/>
      <c r="AE10" s="156"/>
      <c r="AF10" s="185"/>
    </row>
    <row r="11" spans="1:32" s="158" customFormat="1" outlineLevel="1" x14ac:dyDescent="0.3">
      <c r="A11" s="127" t="s">
        <v>50</v>
      </c>
      <c r="B11" s="276">
        <v>0.18</v>
      </c>
      <c r="C11" s="276"/>
      <c r="D11" s="162" t="s">
        <v>51</v>
      </c>
      <c r="E11" s="279">
        <v>0.5</v>
      </c>
      <c r="F11" s="177">
        <f>IF($B$6&gt;=1,1,"")</f>
        <v>1</v>
      </c>
      <c r="G11" s="201">
        <f>IF(NOT(ISBLANK(B5)), B5, "")</f>
        <v>44105</v>
      </c>
      <c r="H11" s="200">
        <f>IF(F11&lt;&gt;"",DATE(YEAR(G11)+1,MONTH(G11),DAY(G11)-1),"")</f>
        <v>44469</v>
      </c>
      <c r="N11" s="186"/>
      <c r="S11" s="156"/>
      <c r="T11" s="185"/>
      <c r="Y11" s="156"/>
      <c r="Z11" s="185"/>
      <c r="AE11" s="156"/>
      <c r="AF11" s="185"/>
    </row>
    <row r="12" spans="1:32" s="158" customFormat="1" outlineLevel="1" x14ac:dyDescent="0.3">
      <c r="A12" s="127" t="s">
        <v>52</v>
      </c>
      <c r="B12" s="277">
        <v>0.1</v>
      </c>
      <c r="C12" s="277"/>
      <c r="D12" s="162" t="s">
        <v>53</v>
      </c>
      <c r="E12" s="279">
        <v>0.5</v>
      </c>
      <c r="F12" s="178">
        <f>IF($B$6&gt;=2,2,"")</f>
        <v>2</v>
      </c>
      <c r="G12" s="179">
        <f>IF(F12&lt;&gt;"",DATE(YEAR(G11)+1,MONTH(G11), DAY(G11)),"")</f>
        <v>44470</v>
      </c>
      <c r="H12" s="180">
        <f>IF(F12&lt;&gt;"",DATE(YEAR(G12)+1,MONTH(G12),DAY(G12)-1),"")</f>
        <v>44834</v>
      </c>
      <c r="N12" s="186"/>
      <c r="S12" s="156"/>
      <c r="T12" s="185"/>
      <c r="Y12" s="156"/>
      <c r="Z12" s="185"/>
      <c r="AE12" s="156"/>
      <c r="AF12" s="185"/>
    </row>
    <row r="13" spans="1:32" s="158" customFormat="1" outlineLevel="1" x14ac:dyDescent="0.3">
      <c r="A13" s="127" t="s">
        <v>54</v>
      </c>
      <c r="B13" s="277"/>
      <c r="C13" s="277"/>
      <c r="D13" s="163" t="s">
        <v>55</v>
      </c>
      <c r="E13" s="279">
        <v>0.5</v>
      </c>
      <c r="F13" s="178">
        <f>IF($B$6&gt;=3,3,"")</f>
        <v>3</v>
      </c>
      <c r="G13" s="179">
        <f t="shared" ref="G13:G15" si="0">IF(F13&lt;&gt;"",DATE(YEAR(G12)+1,MONTH(G12), DAY(G12)),"")</f>
        <v>44835</v>
      </c>
      <c r="H13" s="180">
        <f t="shared" ref="H13:H15" si="1">IF(F13&lt;&gt;"",DATE(YEAR(G13)+1,MONTH(G13),DAY(G13)-1),"")</f>
        <v>45199</v>
      </c>
      <c r="N13" s="186"/>
      <c r="S13" s="156"/>
      <c r="T13" s="185"/>
      <c r="Y13" s="156"/>
      <c r="Z13" s="185"/>
      <c r="AE13" s="156"/>
      <c r="AF13" s="185"/>
    </row>
    <row r="14" spans="1:32" s="158" customFormat="1" outlineLevel="1" x14ac:dyDescent="0.3">
      <c r="A14" s="127" t="s">
        <v>56</v>
      </c>
      <c r="B14" s="277"/>
      <c r="C14" s="277"/>
      <c r="D14" s="163" t="s">
        <v>57</v>
      </c>
      <c r="E14" s="279">
        <v>0.5</v>
      </c>
      <c r="F14" s="178">
        <f>IF($B$6&gt;=4,4,"")</f>
        <v>4</v>
      </c>
      <c r="G14" s="179">
        <f t="shared" si="0"/>
        <v>45200</v>
      </c>
      <c r="H14" s="180">
        <f t="shared" si="1"/>
        <v>45565</v>
      </c>
      <c r="N14" s="186"/>
      <c r="S14" s="156"/>
      <c r="T14" s="185"/>
      <c r="Y14" s="156"/>
      <c r="Z14" s="185"/>
      <c r="AE14" s="156"/>
      <c r="AF14" s="185"/>
    </row>
    <row r="15" spans="1:32" s="158" customFormat="1" ht="15" outlineLevel="1" thickBot="1" x14ac:dyDescent="0.35">
      <c r="A15" s="128" t="s">
        <v>58</v>
      </c>
      <c r="B15" s="278"/>
      <c r="C15" s="278"/>
      <c r="D15" s="165" t="s">
        <v>59</v>
      </c>
      <c r="E15" s="280"/>
      <c r="F15" s="181" t="str">
        <f>IF($B$6&gt;=5,5,"")</f>
        <v/>
      </c>
      <c r="G15" s="182" t="str">
        <f t="shared" si="0"/>
        <v/>
      </c>
      <c r="H15" s="183" t="str">
        <f t="shared" si="1"/>
        <v/>
      </c>
      <c r="N15" s="186"/>
      <c r="S15" s="156"/>
      <c r="T15" s="185"/>
      <c r="Y15" s="156"/>
      <c r="Z15" s="185"/>
      <c r="AE15" s="156"/>
      <c r="AF15" s="185"/>
    </row>
    <row r="16" spans="1:32" s="158" customFormat="1" ht="15" outlineLevel="1" thickBot="1" x14ac:dyDescent="0.35">
      <c r="A16" s="154"/>
      <c r="B16" s="154"/>
      <c r="C16" s="154"/>
      <c r="D16" s="154"/>
      <c r="G16" s="156"/>
      <c r="H16" s="185"/>
      <c r="M16" s="156"/>
      <c r="N16" s="186"/>
      <c r="S16" s="156"/>
      <c r="T16" s="185"/>
      <c r="Y16" s="156"/>
      <c r="Z16" s="185"/>
      <c r="AE16" s="156"/>
      <c r="AF16" s="185"/>
    </row>
    <row r="17" spans="1:36" ht="18.75" customHeight="1" x14ac:dyDescent="0.3">
      <c r="A17" s="249" t="s">
        <v>62</v>
      </c>
      <c r="B17" s="250"/>
      <c r="C17" s="250"/>
      <c r="D17" s="250"/>
      <c r="E17" s="251"/>
      <c r="F17" s="690" t="s">
        <v>51</v>
      </c>
      <c r="G17" s="691"/>
      <c r="H17" s="691"/>
      <c r="I17" s="691"/>
      <c r="J17" s="691"/>
      <c r="K17" s="692"/>
      <c r="L17" s="690" t="s">
        <v>53</v>
      </c>
      <c r="M17" s="691"/>
      <c r="N17" s="691"/>
      <c r="O17" s="691"/>
      <c r="P17" s="691"/>
      <c r="Q17" s="692"/>
      <c r="R17" s="690" t="s">
        <v>55</v>
      </c>
      <c r="S17" s="691"/>
      <c r="T17" s="691"/>
      <c r="U17" s="691"/>
      <c r="V17" s="691"/>
      <c r="W17" s="692"/>
      <c r="X17" s="690" t="s">
        <v>57</v>
      </c>
      <c r="Y17" s="691"/>
      <c r="Z17" s="691"/>
      <c r="AA17" s="691"/>
      <c r="AB17" s="691"/>
      <c r="AC17" s="692"/>
      <c r="AD17" s="690" t="s">
        <v>59</v>
      </c>
      <c r="AE17" s="691"/>
      <c r="AF17" s="691"/>
      <c r="AG17" s="691"/>
      <c r="AH17" s="691"/>
      <c r="AI17" s="692"/>
      <c r="AJ17" s="252" t="s">
        <v>67</v>
      </c>
    </row>
    <row r="18" spans="1:36" ht="18.600000000000001" thickBot="1" x14ac:dyDescent="0.35">
      <c r="A18" s="253"/>
      <c r="B18" s="253"/>
      <c r="C18" s="253"/>
      <c r="D18" s="253"/>
      <c r="E18" s="254"/>
      <c r="F18" s="693" t="str">
        <f>CONCATENATE(TEXT($G11,"mm/dd/yyy"),"  -  ",TEXT($H11,"mm/dd/yyyy"))</f>
        <v>10/01/2020  -  09/30/2021</v>
      </c>
      <c r="G18" s="694"/>
      <c r="H18" s="694"/>
      <c r="I18" s="694"/>
      <c r="J18" s="694"/>
      <c r="K18" s="695"/>
      <c r="L18" s="693" t="str">
        <f>CONCATENATE(TEXT($G12,"mm/dd/yyy"),"  -  ",TEXT($H12,"mm/dd/yyyy"))</f>
        <v>10/01/2021  -  09/30/2022</v>
      </c>
      <c r="M18" s="694"/>
      <c r="N18" s="694"/>
      <c r="O18" s="694"/>
      <c r="P18" s="694"/>
      <c r="Q18" s="695"/>
      <c r="R18" s="693" t="str">
        <f>CONCATENATE(TEXT($G13,"mm/dd/yyy"),"  -  ",TEXT($H13,"mm/dd/yyyy"))</f>
        <v>10/01/2022  -  09/30/2023</v>
      </c>
      <c r="S18" s="694"/>
      <c r="T18" s="694"/>
      <c r="U18" s="694"/>
      <c r="V18" s="694"/>
      <c r="W18" s="695"/>
      <c r="X18" s="693" t="str">
        <f>CONCATENATE(TEXT($G14,"mm/dd/yyy"),"  -  ",TEXT($H14,"mm/dd/yyyy"))</f>
        <v>10/01/2023  -  09/30/2024</v>
      </c>
      <c r="Y18" s="694"/>
      <c r="Z18" s="694"/>
      <c r="AA18" s="694"/>
      <c r="AB18" s="694"/>
      <c r="AC18" s="695"/>
      <c r="AD18" s="693" t="str">
        <f>CONCATENATE(TEXT($G15,"mm/dd/yyy"),"  -  ",TEXT($H15,"mm/dd/yyyy"))</f>
        <v xml:space="preserve">  -  </v>
      </c>
      <c r="AE18" s="694"/>
      <c r="AF18" s="694"/>
      <c r="AG18" s="694"/>
      <c r="AH18" s="694"/>
      <c r="AI18" s="695"/>
      <c r="AJ18" s="490"/>
    </row>
    <row r="19" spans="1:36" s="4" customFormat="1" ht="44.25" customHeight="1" thickBot="1" x14ac:dyDescent="0.35">
      <c r="A19" s="208" t="s">
        <v>68</v>
      </c>
      <c r="B19" s="209" t="s">
        <v>69</v>
      </c>
      <c r="C19" s="209" t="s">
        <v>71</v>
      </c>
      <c r="D19" s="209" t="s">
        <v>72</v>
      </c>
      <c r="E19" s="210" t="s">
        <v>75</v>
      </c>
      <c r="F19" s="211" t="s">
        <v>210</v>
      </c>
      <c r="G19" s="212" t="s">
        <v>77</v>
      </c>
      <c r="H19" s="213" t="s">
        <v>78</v>
      </c>
      <c r="I19" s="214" t="s">
        <v>79</v>
      </c>
      <c r="J19" s="214" t="s">
        <v>80</v>
      </c>
      <c r="K19" s="210" t="s">
        <v>81</v>
      </c>
      <c r="L19" s="211" t="s">
        <v>210</v>
      </c>
      <c r="M19" s="212" t="s">
        <v>77</v>
      </c>
      <c r="N19" s="213" t="s">
        <v>78</v>
      </c>
      <c r="O19" s="214" t="s">
        <v>79</v>
      </c>
      <c r="P19" s="214" t="s">
        <v>80</v>
      </c>
      <c r="Q19" s="210" t="s">
        <v>81</v>
      </c>
      <c r="R19" s="211" t="s">
        <v>210</v>
      </c>
      <c r="S19" s="212" t="s">
        <v>77</v>
      </c>
      <c r="T19" s="213" t="s">
        <v>78</v>
      </c>
      <c r="U19" s="214" t="s">
        <v>79</v>
      </c>
      <c r="V19" s="214" t="s">
        <v>80</v>
      </c>
      <c r="W19" s="210" t="s">
        <v>81</v>
      </c>
      <c r="X19" s="211" t="s">
        <v>210</v>
      </c>
      <c r="Y19" s="212" t="s">
        <v>77</v>
      </c>
      <c r="Z19" s="213" t="s">
        <v>78</v>
      </c>
      <c r="AA19" s="214" t="s">
        <v>79</v>
      </c>
      <c r="AB19" s="214" t="s">
        <v>80</v>
      </c>
      <c r="AC19" s="210" t="s">
        <v>81</v>
      </c>
      <c r="AD19" s="211" t="s">
        <v>210</v>
      </c>
      <c r="AE19" s="212" t="s">
        <v>77</v>
      </c>
      <c r="AF19" s="213" t="s">
        <v>78</v>
      </c>
      <c r="AG19" s="214" t="s">
        <v>79</v>
      </c>
      <c r="AH19" s="214" t="s">
        <v>80</v>
      </c>
      <c r="AI19" s="210" t="s">
        <v>81</v>
      </c>
      <c r="AJ19" s="255"/>
    </row>
    <row r="20" spans="1:36" s="4" customFormat="1" ht="18" outlineLevel="1" x14ac:dyDescent="0.3">
      <c r="A20" s="290" t="s">
        <v>85</v>
      </c>
      <c r="B20" s="291"/>
      <c r="C20" s="291"/>
      <c r="D20" s="476"/>
      <c r="E20" s="72"/>
      <c r="F20" s="482"/>
      <c r="G20" s="477"/>
      <c r="H20" s="83"/>
      <c r="I20" s="478"/>
      <c r="J20" s="478"/>
      <c r="K20" s="479"/>
      <c r="L20" s="478"/>
      <c r="M20" s="477"/>
      <c r="N20" s="83"/>
      <c r="O20" s="478"/>
      <c r="P20" s="478"/>
      <c r="Q20" s="479"/>
      <c r="R20" s="478"/>
      <c r="S20" s="477"/>
      <c r="T20" s="83"/>
      <c r="U20" s="478"/>
      <c r="V20" s="478"/>
      <c r="W20" s="479"/>
      <c r="X20" s="478"/>
      <c r="Y20" s="477"/>
      <c r="Z20" s="83"/>
      <c r="AA20" s="478"/>
      <c r="AB20" s="478"/>
      <c r="AC20" s="478"/>
      <c r="AD20" s="482"/>
      <c r="AE20" s="477"/>
      <c r="AF20" s="83"/>
      <c r="AG20" s="478"/>
      <c r="AH20" s="478"/>
      <c r="AI20" s="479"/>
      <c r="AJ20" s="270"/>
    </row>
    <row r="21" spans="1:36" outlineLevel="1" x14ac:dyDescent="0.3">
      <c r="A21" s="281" t="s">
        <v>238</v>
      </c>
      <c r="B21" s="275" t="s">
        <v>89</v>
      </c>
      <c r="C21" s="275" t="s">
        <v>50</v>
      </c>
      <c r="D21" s="547">
        <v>0.3</v>
      </c>
      <c r="E21" s="324">
        <v>232818</v>
      </c>
      <c r="F21" s="322">
        <f>IF(AND($E$8="DHHS",E21&gt;'Stipends &amp; Salary Caps'!$B$22),'Stipends &amp; Salary Caps'!$B$22,IF(AND($F$9="PCORI",E21&gt;'Stipends &amp; Salary Caps'!$B$23),'Stipends &amp; Salary Caps'!$B$23,E21))</f>
        <v>232818</v>
      </c>
      <c r="G21" s="323">
        <f>12*H21</f>
        <v>0.24</v>
      </c>
      <c r="H21" s="283">
        <v>0.02</v>
      </c>
      <c r="I21" s="324">
        <f>H21*F21</f>
        <v>4656.3599999999997</v>
      </c>
      <c r="J21" s="324">
        <f>D21*I21</f>
        <v>1396.9079999999999</v>
      </c>
      <c r="K21" s="325">
        <f t="shared" ref="K21:K31" si="2">I21+J21</f>
        <v>6053.268</v>
      </c>
      <c r="L21" s="324">
        <f>F21*1.02</f>
        <v>237474.36000000002</v>
      </c>
      <c r="M21" s="323">
        <f>N21*12</f>
        <v>0.60000000000000009</v>
      </c>
      <c r="N21" s="283">
        <v>0.05</v>
      </c>
      <c r="O21" s="324">
        <f>L21*N21</f>
        <v>11873.718000000001</v>
      </c>
      <c r="P21" s="324">
        <f>D21*O21</f>
        <v>3562.1154000000001</v>
      </c>
      <c r="Q21" s="325">
        <f t="shared" ref="Q21:Q31" si="3">O21+P21</f>
        <v>15435.833400000001</v>
      </c>
      <c r="R21" s="324">
        <f>L21*1.02</f>
        <v>242223.84720000002</v>
      </c>
      <c r="S21" s="323">
        <f>12*T21</f>
        <v>0.60000000000000009</v>
      </c>
      <c r="T21" s="283">
        <v>0.05</v>
      </c>
      <c r="U21" s="324">
        <f>R21*T21</f>
        <v>12111.192360000001</v>
      </c>
      <c r="V21" s="324">
        <f>U21*D21</f>
        <v>3633.357708</v>
      </c>
      <c r="W21" s="325">
        <f t="shared" ref="W21:W31" si="4">U21+V21</f>
        <v>15744.550068</v>
      </c>
      <c r="X21" s="324">
        <f>R21*1.02</f>
        <v>247068.32414400001</v>
      </c>
      <c r="Y21" s="323">
        <f>12*Z21</f>
        <v>0.60000000000000009</v>
      </c>
      <c r="Z21" s="283">
        <v>0.05</v>
      </c>
      <c r="AA21" s="324">
        <f>X21*Z21</f>
        <v>12353.416207200002</v>
      </c>
      <c r="AB21" s="324">
        <f>AA21*D21</f>
        <v>3706.0248621600003</v>
      </c>
      <c r="AC21" s="324">
        <f t="shared" ref="AC21:AC31" si="5">AA21+AB21</f>
        <v>16059.441069360002</v>
      </c>
      <c r="AD21" s="322">
        <f>X21</f>
        <v>247068.32414400001</v>
      </c>
      <c r="AE21" s="323">
        <f>12*AF21</f>
        <v>0</v>
      </c>
      <c r="AF21" s="283"/>
      <c r="AG21" s="324">
        <f>$E$21*AF21</f>
        <v>0</v>
      </c>
      <c r="AH21" s="324">
        <f>AG21*D21</f>
        <v>0</v>
      </c>
      <c r="AI21" s="325">
        <f t="shared" ref="AI21:AI31" si="6">AG21+AH21</f>
        <v>0</v>
      </c>
      <c r="AJ21" s="269">
        <f>K21+Q21+W21+AC21+AI21</f>
        <v>53293.092537359997</v>
      </c>
    </row>
    <row r="22" spans="1:36" hidden="1" outlineLevel="1" x14ac:dyDescent="0.3">
      <c r="A22" s="281"/>
      <c r="B22" s="275"/>
      <c r="C22" s="275" t="s">
        <v>50</v>
      </c>
      <c r="D22" s="317">
        <f t="shared" ref="D22:D31" si="7">LOOKUP(C22,$A$9:$A$12,$B$9:$B$12)</f>
        <v>0.18</v>
      </c>
      <c r="E22" s="282"/>
      <c r="F22" s="322">
        <f>IF(AND($E$8="DHHS",E22&gt;'Stipends &amp; Salary Caps'!$B$22),'Stipends &amp; Salary Caps'!$B$22,IF(AND($F$9="PCORI",E22&gt;'Stipends &amp; Salary Caps'!$B$23),'Stipends &amp; Salary Caps'!$B$23,E22))</f>
        <v>0</v>
      </c>
      <c r="G22" s="323">
        <f t="shared" ref="G22:G42" si="8">12*H22</f>
        <v>0</v>
      </c>
      <c r="H22" s="283"/>
      <c r="I22" s="324">
        <f t="shared" ref="I22:I31" si="9">$E22*H22</f>
        <v>0</v>
      </c>
      <c r="J22" s="324">
        <f t="shared" ref="J22:J42" si="10">I22*D22</f>
        <v>0</v>
      </c>
      <c r="K22" s="325">
        <f t="shared" si="2"/>
        <v>0</v>
      </c>
      <c r="L22" s="324">
        <f>F22</f>
        <v>0</v>
      </c>
      <c r="M22" s="323">
        <f t="shared" ref="M22:M42" si="11">12*N22</f>
        <v>0</v>
      </c>
      <c r="N22" s="283"/>
      <c r="O22" s="324">
        <f>$L22*N22</f>
        <v>0</v>
      </c>
      <c r="P22" s="324">
        <f t="shared" ref="P22:P42" si="12">O22*D22</f>
        <v>0</v>
      </c>
      <c r="Q22" s="325">
        <f t="shared" si="3"/>
        <v>0</v>
      </c>
      <c r="R22" s="324">
        <f t="shared" ref="R22:R42" si="13">L22</f>
        <v>0</v>
      </c>
      <c r="S22" s="323">
        <f t="shared" ref="S22:S42" si="14">12*T22</f>
        <v>0</v>
      </c>
      <c r="T22" s="283"/>
      <c r="U22" s="324">
        <f t="shared" ref="U22:U31" si="15">$E22*T22</f>
        <v>0</v>
      </c>
      <c r="V22" s="324">
        <f t="shared" ref="V22:V42" si="16">U22*D22</f>
        <v>0</v>
      </c>
      <c r="W22" s="325">
        <f t="shared" si="4"/>
        <v>0</v>
      </c>
      <c r="X22" s="324">
        <f t="shared" ref="X22:X42" si="17">R22</f>
        <v>0</v>
      </c>
      <c r="Y22" s="323">
        <f t="shared" ref="Y22:Y42" si="18">12*Z22</f>
        <v>0</v>
      </c>
      <c r="Z22" s="283"/>
      <c r="AA22" s="324">
        <f t="shared" ref="AA22:AA31" si="19">$E22*Z22</f>
        <v>0</v>
      </c>
      <c r="AB22" s="324">
        <f t="shared" ref="AB22:AB42" si="20">AA22*D22</f>
        <v>0</v>
      </c>
      <c r="AC22" s="324">
        <f t="shared" si="5"/>
        <v>0</v>
      </c>
      <c r="AD22" s="322">
        <f t="shared" ref="AD22:AD42" si="21">X22</f>
        <v>0</v>
      </c>
      <c r="AE22" s="323">
        <f t="shared" ref="AE22:AE42" si="22">12*AF22</f>
        <v>0</v>
      </c>
      <c r="AF22" s="283"/>
      <c r="AG22" s="324">
        <f t="shared" ref="AG22:AG31" si="23">$E22*AF22</f>
        <v>0</v>
      </c>
      <c r="AH22" s="324">
        <f t="shared" ref="AH22:AH42" si="24">AG22*D22</f>
        <v>0</v>
      </c>
      <c r="AI22" s="325">
        <f t="shared" si="6"/>
        <v>0</v>
      </c>
      <c r="AJ22" s="269">
        <f t="shared" ref="AJ22:AJ31" si="25">K22+Q22+W22+AC22+AI22</f>
        <v>0</v>
      </c>
    </row>
    <row r="23" spans="1:36" hidden="1" outlineLevel="1" x14ac:dyDescent="0.3">
      <c r="A23" s="281"/>
      <c r="B23" s="275"/>
      <c r="C23" s="275" t="s">
        <v>50</v>
      </c>
      <c r="D23" s="317">
        <f t="shared" si="7"/>
        <v>0.18</v>
      </c>
      <c r="E23" s="282"/>
      <c r="F23" s="322">
        <f>IF(AND($E$8="DHHS",E23&gt;'Stipends &amp; Salary Caps'!$B$22),'Stipends &amp; Salary Caps'!$B$22,IF(AND($F$9="PCORI",E23&gt;'Stipends &amp; Salary Caps'!$B$23),'Stipends &amp; Salary Caps'!$B$23,E23))</f>
        <v>0</v>
      </c>
      <c r="G23" s="323">
        <f t="shared" si="8"/>
        <v>0</v>
      </c>
      <c r="H23" s="283"/>
      <c r="I23" s="324">
        <f t="shared" si="9"/>
        <v>0</v>
      </c>
      <c r="J23" s="324">
        <f t="shared" si="10"/>
        <v>0</v>
      </c>
      <c r="K23" s="325">
        <f t="shared" si="2"/>
        <v>0</v>
      </c>
      <c r="L23" s="324">
        <f t="shared" ref="L23:L42" si="26">F23</f>
        <v>0</v>
      </c>
      <c r="M23" s="323">
        <f t="shared" si="11"/>
        <v>0</v>
      </c>
      <c r="N23" s="283"/>
      <c r="O23" s="324">
        <f t="shared" ref="O23:O31" si="27">$E23*N23</f>
        <v>0</v>
      </c>
      <c r="P23" s="324">
        <f t="shared" si="12"/>
        <v>0</v>
      </c>
      <c r="Q23" s="325">
        <f t="shared" si="3"/>
        <v>0</v>
      </c>
      <c r="R23" s="324">
        <f t="shared" si="13"/>
        <v>0</v>
      </c>
      <c r="S23" s="323">
        <f t="shared" si="14"/>
        <v>0</v>
      </c>
      <c r="T23" s="283"/>
      <c r="U23" s="324">
        <f t="shared" si="15"/>
        <v>0</v>
      </c>
      <c r="V23" s="324">
        <f t="shared" si="16"/>
        <v>0</v>
      </c>
      <c r="W23" s="325">
        <f t="shared" si="4"/>
        <v>0</v>
      </c>
      <c r="X23" s="324">
        <f t="shared" si="17"/>
        <v>0</v>
      </c>
      <c r="Y23" s="323">
        <f t="shared" si="18"/>
        <v>0</v>
      </c>
      <c r="Z23" s="283"/>
      <c r="AA23" s="324">
        <f t="shared" si="19"/>
        <v>0</v>
      </c>
      <c r="AB23" s="324">
        <f t="shared" si="20"/>
        <v>0</v>
      </c>
      <c r="AC23" s="324">
        <f t="shared" si="5"/>
        <v>0</v>
      </c>
      <c r="AD23" s="322">
        <f t="shared" si="21"/>
        <v>0</v>
      </c>
      <c r="AE23" s="323">
        <f t="shared" si="22"/>
        <v>0</v>
      </c>
      <c r="AF23" s="283"/>
      <c r="AG23" s="324">
        <f t="shared" si="23"/>
        <v>0</v>
      </c>
      <c r="AH23" s="324">
        <f t="shared" si="24"/>
        <v>0</v>
      </c>
      <c r="AI23" s="325">
        <f t="shared" si="6"/>
        <v>0</v>
      </c>
      <c r="AJ23" s="269">
        <f t="shared" si="25"/>
        <v>0</v>
      </c>
    </row>
    <row r="24" spans="1:36" hidden="1" outlineLevel="1" x14ac:dyDescent="0.3">
      <c r="A24" s="281"/>
      <c r="B24" s="275"/>
      <c r="C24" s="275" t="s">
        <v>50</v>
      </c>
      <c r="D24" s="317">
        <f t="shared" si="7"/>
        <v>0.18</v>
      </c>
      <c r="E24" s="282"/>
      <c r="F24" s="322">
        <f>IF(AND($E$8="DHHS",E24&gt;'Stipends &amp; Salary Caps'!$B$22),'Stipends &amp; Salary Caps'!$B$22,IF(AND($F$9="PCORI",E24&gt;'Stipends &amp; Salary Caps'!$B$23),'Stipends &amp; Salary Caps'!$B$23,E24))</f>
        <v>0</v>
      </c>
      <c r="G24" s="323">
        <f t="shared" si="8"/>
        <v>0</v>
      </c>
      <c r="H24" s="283"/>
      <c r="I24" s="324">
        <f t="shared" si="9"/>
        <v>0</v>
      </c>
      <c r="J24" s="324">
        <f t="shared" si="10"/>
        <v>0</v>
      </c>
      <c r="K24" s="325">
        <f t="shared" si="2"/>
        <v>0</v>
      </c>
      <c r="L24" s="324">
        <f t="shared" si="26"/>
        <v>0</v>
      </c>
      <c r="M24" s="323">
        <f t="shared" si="11"/>
        <v>0</v>
      </c>
      <c r="N24" s="283"/>
      <c r="O24" s="324">
        <f t="shared" si="27"/>
        <v>0</v>
      </c>
      <c r="P24" s="324">
        <f t="shared" si="12"/>
        <v>0</v>
      </c>
      <c r="Q24" s="325">
        <f t="shared" si="3"/>
        <v>0</v>
      </c>
      <c r="R24" s="324">
        <f t="shared" si="13"/>
        <v>0</v>
      </c>
      <c r="S24" s="323">
        <f t="shared" si="14"/>
        <v>0</v>
      </c>
      <c r="T24" s="283"/>
      <c r="U24" s="324">
        <f t="shared" si="15"/>
        <v>0</v>
      </c>
      <c r="V24" s="324">
        <f t="shared" si="16"/>
        <v>0</v>
      </c>
      <c r="W24" s="325">
        <f t="shared" si="4"/>
        <v>0</v>
      </c>
      <c r="X24" s="324">
        <f t="shared" si="17"/>
        <v>0</v>
      </c>
      <c r="Y24" s="323">
        <f t="shared" si="18"/>
        <v>0</v>
      </c>
      <c r="Z24" s="283"/>
      <c r="AA24" s="324">
        <f t="shared" si="19"/>
        <v>0</v>
      </c>
      <c r="AB24" s="324">
        <f t="shared" si="20"/>
        <v>0</v>
      </c>
      <c r="AC24" s="324">
        <f t="shared" si="5"/>
        <v>0</v>
      </c>
      <c r="AD24" s="322">
        <f t="shared" si="21"/>
        <v>0</v>
      </c>
      <c r="AE24" s="323">
        <f t="shared" si="22"/>
        <v>0</v>
      </c>
      <c r="AF24" s="283"/>
      <c r="AG24" s="324">
        <f t="shared" si="23"/>
        <v>0</v>
      </c>
      <c r="AH24" s="324">
        <f t="shared" si="24"/>
        <v>0</v>
      </c>
      <c r="AI24" s="325">
        <f t="shared" si="6"/>
        <v>0</v>
      </c>
      <c r="AJ24" s="269">
        <f t="shared" si="25"/>
        <v>0</v>
      </c>
    </row>
    <row r="25" spans="1:36" hidden="1" outlineLevel="1" x14ac:dyDescent="0.3">
      <c r="A25" s="281"/>
      <c r="B25" s="275"/>
      <c r="C25" s="275" t="s">
        <v>50</v>
      </c>
      <c r="D25" s="317">
        <f t="shared" si="7"/>
        <v>0.18</v>
      </c>
      <c r="E25" s="282"/>
      <c r="F25" s="322">
        <f>IF(AND($E$8="DHHS",E25&gt;'Stipends &amp; Salary Caps'!$B$22),'Stipends &amp; Salary Caps'!$B$22,IF(AND($F$9="PCORI",E25&gt;'Stipends &amp; Salary Caps'!$B$23),'Stipends &amp; Salary Caps'!$B$23,E25))</f>
        <v>0</v>
      </c>
      <c r="G25" s="323">
        <f t="shared" si="8"/>
        <v>0</v>
      </c>
      <c r="H25" s="283"/>
      <c r="I25" s="324">
        <f t="shared" si="9"/>
        <v>0</v>
      </c>
      <c r="J25" s="324">
        <f t="shared" si="10"/>
        <v>0</v>
      </c>
      <c r="K25" s="325">
        <f t="shared" si="2"/>
        <v>0</v>
      </c>
      <c r="L25" s="324">
        <f t="shared" si="26"/>
        <v>0</v>
      </c>
      <c r="M25" s="323">
        <f t="shared" si="11"/>
        <v>0</v>
      </c>
      <c r="N25" s="283"/>
      <c r="O25" s="324">
        <f t="shared" si="27"/>
        <v>0</v>
      </c>
      <c r="P25" s="324">
        <f t="shared" si="12"/>
        <v>0</v>
      </c>
      <c r="Q25" s="325">
        <f t="shared" si="3"/>
        <v>0</v>
      </c>
      <c r="R25" s="324">
        <f t="shared" si="13"/>
        <v>0</v>
      </c>
      <c r="S25" s="323">
        <f t="shared" si="14"/>
        <v>0</v>
      </c>
      <c r="T25" s="283"/>
      <c r="U25" s="324">
        <f t="shared" si="15"/>
        <v>0</v>
      </c>
      <c r="V25" s="324">
        <f t="shared" si="16"/>
        <v>0</v>
      </c>
      <c r="W25" s="325">
        <f t="shared" si="4"/>
        <v>0</v>
      </c>
      <c r="X25" s="324">
        <f t="shared" si="17"/>
        <v>0</v>
      </c>
      <c r="Y25" s="323">
        <f t="shared" si="18"/>
        <v>0</v>
      </c>
      <c r="Z25" s="283"/>
      <c r="AA25" s="324">
        <f t="shared" si="19"/>
        <v>0</v>
      </c>
      <c r="AB25" s="324">
        <f t="shared" si="20"/>
        <v>0</v>
      </c>
      <c r="AC25" s="324">
        <f t="shared" si="5"/>
        <v>0</v>
      </c>
      <c r="AD25" s="322">
        <f t="shared" si="21"/>
        <v>0</v>
      </c>
      <c r="AE25" s="323">
        <f t="shared" si="22"/>
        <v>0</v>
      </c>
      <c r="AF25" s="283"/>
      <c r="AG25" s="324">
        <f t="shared" si="23"/>
        <v>0</v>
      </c>
      <c r="AH25" s="324">
        <f t="shared" si="24"/>
        <v>0</v>
      </c>
      <c r="AI25" s="325">
        <f t="shared" si="6"/>
        <v>0</v>
      </c>
      <c r="AJ25" s="269">
        <f t="shared" si="25"/>
        <v>0</v>
      </c>
    </row>
    <row r="26" spans="1:36" hidden="1" outlineLevel="1" x14ac:dyDescent="0.3">
      <c r="A26" s="281"/>
      <c r="B26" s="275"/>
      <c r="C26" s="275" t="s">
        <v>50</v>
      </c>
      <c r="D26" s="317">
        <f t="shared" si="7"/>
        <v>0.18</v>
      </c>
      <c r="E26" s="282"/>
      <c r="F26" s="322">
        <f>IF(AND($E$8="DHHS",E26&gt;'Stipends &amp; Salary Caps'!$B$22),'Stipends &amp; Salary Caps'!$B$22,IF(AND($F$9="PCORI",E26&gt;'Stipends &amp; Salary Caps'!$B$23),'Stipends &amp; Salary Caps'!$B$23,E26))</f>
        <v>0</v>
      </c>
      <c r="G26" s="323">
        <f t="shared" si="8"/>
        <v>0</v>
      </c>
      <c r="H26" s="283"/>
      <c r="I26" s="324">
        <f t="shared" si="9"/>
        <v>0</v>
      </c>
      <c r="J26" s="324">
        <f t="shared" si="10"/>
        <v>0</v>
      </c>
      <c r="K26" s="325">
        <f t="shared" si="2"/>
        <v>0</v>
      </c>
      <c r="L26" s="324">
        <f t="shared" si="26"/>
        <v>0</v>
      </c>
      <c r="M26" s="323">
        <f t="shared" si="11"/>
        <v>0</v>
      </c>
      <c r="N26" s="283"/>
      <c r="O26" s="324">
        <f t="shared" si="27"/>
        <v>0</v>
      </c>
      <c r="P26" s="324">
        <f t="shared" si="12"/>
        <v>0</v>
      </c>
      <c r="Q26" s="325">
        <f t="shared" si="3"/>
        <v>0</v>
      </c>
      <c r="R26" s="324">
        <f t="shared" si="13"/>
        <v>0</v>
      </c>
      <c r="S26" s="323">
        <f t="shared" si="14"/>
        <v>0</v>
      </c>
      <c r="T26" s="283"/>
      <c r="U26" s="324">
        <f t="shared" si="15"/>
        <v>0</v>
      </c>
      <c r="V26" s="324">
        <f t="shared" si="16"/>
        <v>0</v>
      </c>
      <c r="W26" s="325">
        <f t="shared" si="4"/>
        <v>0</v>
      </c>
      <c r="X26" s="324">
        <f t="shared" si="17"/>
        <v>0</v>
      </c>
      <c r="Y26" s="323">
        <f t="shared" si="18"/>
        <v>0</v>
      </c>
      <c r="Z26" s="283"/>
      <c r="AA26" s="324">
        <f t="shared" si="19"/>
        <v>0</v>
      </c>
      <c r="AB26" s="324">
        <f t="shared" si="20"/>
        <v>0</v>
      </c>
      <c r="AC26" s="324">
        <f t="shared" si="5"/>
        <v>0</v>
      </c>
      <c r="AD26" s="322">
        <f t="shared" si="21"/>
        <v>0</v>
      </c>
      <c r="AE26" s="323">
        <f t="shared" si="22"/>
        <v>0</v>
      </c>
      <c r="AF26" s="283"/>
      <c r="AG26" s="324">
        <f t="shared" si="23"/>
        <v>0</v>
      </c>
      <c r="AH26" s="324">
        <f t="shared" si="24"/>
        <v>0</v>
      </c>
      <c r="AI26" s="325">
        <f t="shared" si="6"/>
        <v>0</v>
      </c>
      <c r="AJ26" s="269">
        <f t="shared" si="25"/>
        <v>0</v>
      </c>
    </row>
    <row r="27" spans="1:36" hidden="1" outlineLevel="1" x14ac:dyDescent="0.3">
      <c r="A27" s="281"/>
      <c r="B27" s="275"/>
      <c r="C27" s="275" t="s">
        <v>50</v>
      </c>
      <c r="D27" s="317">
        <f t="shared" si="7"/>
        <v>0.18</v>
      </c>
      <c r="E27" s="282"/>
      <c r="F27" s="322">
        <f>IF(AND($E$8="DHHS",E27&gt;'Stipends &amp; Salary Caps'!$B$22),'Stipends &amp; Salary Caps'!$B$22,IF(AND($F$9="PCORI",E27&gt;'Stipends &amp; Salary Caps'!$B$23),'Stipends &amp; Salary Caps'!$B$23,E27))</f>
        <v>0</v>
      </c>
      <c r="G27" s="323">
        <f t="shared" si="8"/>
        <v>0</v>
      </c>
      <c r="H27" s="283"/>
      <c r="I27" s="324">
        <f t="shared" si="9"/>
        <v>0</v>
      </c>
      <c r="J27" s="324">
        <f t="shared" si="10"/>
        <v>0</v>
      </c>
      <c r="K27" s="325">
        <f t="shared" si="2"/>
        <v>0</v>
      </c>
      <c r="L27" s="324">
        <f t="shared" si="26"/>
        <v>0</v>
      </c>
      <c r="M27" s="323">
        <f t="shared" si="11"/>
        <v>0</v>
      </c>
      <c r="N27" s="283"/>
      <c r="O27" s="324">
        <f t="shared" si="27"/>
        <v>0</v>
      </c>
      <c r="P27" s="324">
        <f t="shared" si="12"/>
        <v>0</v>
      </c>
      <c r="Q27" s="325">
        <f t="shared" si="3"/>
        <v>0</v>
      </c>
      <c r="R27" s="324">
        <f t="shared" si="13"/>
        <v>0</v>
      </c>
      <c r="S27" s="323">
        <f t="shared" si="14"/>
        <v>0</v>
      </c>
      <c r="T27" s="283"/>
      <c r="U27" s="324">
        <f t="shared" si="15"/>
        <v>0</v>
      </c>
      <c r="V27" s="324">
        <f t="shared" si="16"/>
        <v>0</v>
      </c>
      <c r="W27" s="325">
        <f t="shared" si="4"/>
        <v>0</v>
      </c>
      <c r="X27" s="324">
        <f t="shared" si="17"/>
        <v>0</v>
      </c>
      <c r="Y27" s="323">
        <f t="shared" si="18"/>
        <v>0</v>
      </c>
      <c r="Z27" s="283"/>
      <c r="AA27" s="324">
        <f t="shared" si="19"/>
        <v>0</v>
      </c>
      <c r="AB27" s="324">
        <f t="shared" si="20"/>
        <v>0</v>
      </c>
      <c r="AC27" s="324">
        <f t="shared" si="5"/>
        <v>0</v>
      </c>
      <c r="AD27" s="322">
        <f t="shared" si="21"/>
        <v>0</v>
      </c>
      <c r="AE27" s="323">
        <f t="shared" si="22"/>
        <v>0</v>
      </c>
      <c r="AF27" s="283"/>
      <c r="AG27" s="324">
        <f t="shared" si="23"/>
        <v>0</v>
      </c>
      <c r="AH27" s="324">
        <f t="shared" si="24"/>
        <v>0</v>
      </c>
      <c r="AI27" s="325">
        <f t="shared" si="6"/>
        <v>0</v>
      </c>
      <c r="AJ27" s="269">
        <f t="shared" si="25"/>
        <v>0</v>
      </c>
    </row>
    <row r="28" spans="1:36" hidden="1" outlineLevel="1" x14ac:dyDescent="0.3">
      <c r="A28" s="281"/>
      <c r="B28" s="275"/>
      <c r="C28" s="275" t="s">
        <v>50</v>
      </c>
      <c r="D28" s="317">
        <f t="shared" si="7"/>
        <v>0.18</v>
      </c>
      <c r="E28" s="282"/>
      <c r="F28" s="322">
        <f>IF(AND($E$8="DHHS",E28&gt;'Stipends &amp; Salary Caps'!$B$22),'Stipends &amp; Salary Caps'!$B$22,IF(AND($F$9="PCORI",E28&gt;'Stipends &amp; Salary Caps'!$B$23),'Stipends &amp; Salary Caps'!$B$23,E28))</f>
        <v>0</v>
      </c>
      <c r="G28" s="323">
        <f t="shared" si="8"/>
        <v>0</v>
      </c>
      <c r="H28" s="283"/>
      <c r="I28" s="324">
        <f t="shared" si="9"/>
        <v>0</v>
      </c>
      <c r="J28" s="324">
        <f t="shared" si="10"/>
        <v>0</v>
      </c>
      <c r="K28" s="325">
        <f t="shared" si="2"/>
        <v>0</v>
      </c>
      <c r="L28" s="324">
        <f t="shared" si="26"/>
        <v>0</v>
      </c>
      <c r="M28" s="323">
        <f t="shared" si="11"/>
        <v>0</v>
      </c>
      <c r="N28" s="283"/>
      <c r="O28" s="324">
        <f t="shared" si="27"/>
        <v>0</v>
      </c>
      <c r="P28" s="324">
        <f t="shared" si="12"/>
        <v>0</v>
      </c>
      <c r="Q28" s="325">
        <f t="shared" si="3"/>
        <v>0</v>
      </c>
      <c r="R28" s="324">
        <f t="shared" si="13"/>
        <v>0</v>
      </c>
      <c r="S28" s="323">
        <f t="shared" si="14"/>
        <v>0</v>
      </c>
      <c r="T28" s="283"/>
      <c r="U28" s="324">
        <f t="shared" si="15"/>
        <v>0</v>
      </c>
      <c r="V28" s="324">
        <f t="shared" si="16"/>
        <v>0</v>
      </c>
      <c r="W28" s="325">
        <f t="shared" si="4"/>
        <v>0</v>
      </c>
      <c r="X28" s="324">
        <f t="shared" si="17"/>
        <v>0</v>
      </c>
      <c r="Y28" s="323">
        <f t="shared" si="18"/>
        <v>0</v>
      </c>
      <c r="Z28" s="283"/>
      <c r="AA28" s="324">
        <f t="shared" si="19"/>
        <v>0</v>
      </c>
      <c r="AB28" s="324">
        <f t="shared" si="20"/>
        <v>0</v>
      </c>
      <c r="AC28" s="324">
        <f t="shared" si="5"/>
        <v>0</v>
      </c>
      <c r="AD28" s="322">
        <f t="shared" si="21"/>
        <v>0</v>
      </c>
      <c r="AE28" s="323">
        <f t="shared" si="22"/>
        <v>0</v>
      </c>
      <c r="AF28" s="283"/>
      <c r="AG28" s="324">
        <f t="shared" si="23"/>
        <v>0</v>
      </c>
      <c r="AH28" s="324">
        <f t="shared" si="24"/>
        <v>0</v>
      </c>
      <c r="AI28" s="325">
        <f t="shared" si="6"/>
        <v>0</v>
      </c>
      <c r="AJ28" s="269">
        <f t="shared" si="25"/>
        <v>0</v>
      </c>
    </row>
    <row r="29" spans="1:36" hidden="1" outlineLevel="1" x14ac:dyDescent="0.3">
      <c r="A29" s="281"/>
      <c r="B29" s="275"/>
      <c r="C29" s="275" t="s">
        <v>50</v>
      </c>
      <c r="D29" s="317">
        <f t="shared" si="7"/>
        <v>0.18</v>
      </c>
      <c r="E29" s="282"/>
      <c r="F29" s="322">
        <f>IF(AND($E$8="DHHS",E29&gt;'Stipends &amp; Salary Caps'!$B$22),'Stipends &amp; Salary Caps'!$B$22,IF(AND($F$9="PCORI",E29&gt;'Stipends &amp; Salary Caps'!$B$23),'Stipends &amp; Salary Caps'!$B$23,E29))</f>
        <v>0</v>
      </c>
      <c r="G29" s="323">
        <f t="shared" si="8"/>
        <v>0</v>
      </c>
      <c r="H29" s="283"/>
      <c r="I29" s="324">
        <f t="shared" si="9"/>
        <v>0</v>
      </c>
      <c r="J29" s="324">
        <f t="shared" si="10"/>
        <v>0</v>
      </c>
      <c r="K29" s="325">
        <f t="shared" si="2"/>
        <v>0</v>
      </c>
      <c r="L29" s="324">
        <f t="shared" si="26"/>
        <v>0</v>
      </c>
      <c r="M29" s="323">
        <f t="shared" si="11"/>
        <v>0</v>
      </c>
      <c r="N29" s="283"/>
      <c r="O29" s="324">
        <f t="shared" si="27"/>
        <v>0</v>
      </c>
      <c r="P29" s="324">
        <f t="shared" si="12"/>
        <v>0</v>
      </c>
      <c r="Q29" s="325">
        <f t="shared" si="3"/>
        <v>0</v>
      </c>
      <c r="R29" s="324">
        <f t="shared" si="13"/>
        <v>0</v>
      </c>
      <c r="S29" s="323">
        <f t="shared" si="14"/>
        <v>0</v>
      </c>
      <c r="T29" s="283"/>
      <c r="U29" s="324">
        <f t="shared" si="15"/>
        <v>0</v>
      </c>
      <c r="V29" s="324">
        <f t="shared" si="16"/>
        <v>0</v>
      </c>
      <c r="W29" s="325">
        <f t="shared" si="4"/>
        <v>0</v>
      </c>
      <c r="X29" s="324">
        <f t="shared" si="17"/>
        <v>0</v>
      </c>
      <c r="Y29" s="323">
        <f t="shared" si="18"/>
        <v>0</v>
      </c>
      <c r="Z29" s="283"/>
      <c r="AA29" s="324">
        <f t="shared" si="19"/>
        <v>0</v>
      </c>
      <c r="AB29" s="324">
        <f t="shared" si="20"/>
        <v>0</v>
      </c>
      <c r="AC29" s="324">
        <f t="shared" si="5"/>
        <v>0</v>
      </c>
      <c r="AD29" s="322">
        <f t="shared" si="21"/>
        <v>0</v>
      </c>
      <c r="AE29" s="323">
        <f t="shared" si="22"/>
        <v>0</v>
      </c>
      <c r="AF29" s="283"/>
      <c r="AG29" s="324">
        <f t="shared" si="23"/>
        <v>0</v>
      </c>
      <c r="AH29" s="324">
        <f t="shared" si="24"/>
        <v>0</v>
      </c>
      <c r="AI29" s="325">
        <f t="shared" si="6"/>
        <v>0</v>
      </c>
      <c r="AJ29" s="269">
        <f t="shared" si="25"/>
        <v>0</v>
      </c>
    </row>
    <row r="30" spans="1:36" hidden="1" outlineLevel="1" x14ac:dyDescent="0.3">
      <c r="A30" s="281"/>
      <c r="B30" s="275"/>
      <c r="C30" s="275" t="s">
        <v>50</v>
      </c>
      <c r="D30" s="317">
        <f t="shared" si="7"/>
        <v>0.18</v>
      </c>
      <c r="E30" s="282"/>
      <c r="F30" s="322">
        <f>IF(AND($E$8="DHHS",E30&gt;'Stipends &amp; Salary Caps'!$B$22),'Stipends &amp; Salary Caps'!$B$22,IF(AND($F$9="PCORI",E30&gt;'Stipends &amp; Salary Caps'!$B$23),'Stipends &amp; Salary Caps'!$B$23,E30))</f>
        <v>0</v>
      </c>
      <c r="G30" s="323">
        <f t="shared" si="8"/>
        <v>0</v>
      </c>
      <c r="H30" s="283"/>
      <c r="I30" s="324">
        <f t="shared" si="9"/>
        <v>0</v>
      </c>
      <c r="J30" s="324">
        <f t="shared" si="10"/>
        <v>0</v>
      </c>
      <c r="K30" s="325">
        <f t="shared" si="2"/>
        <v>0</v>
      </c>
      <c r="L30" s="324">
        <f t="shared" si="26"/>
        <v>0</v>
      </c>
      <c r="M30" s="323">
        <f t="shared" si="11"/>
        <v>0</v>
      </c>
      <c r="N30" s="283"/>
      <c r="O30" s="324">
        <f t="shared" si="27"/>
        <v>0</v>
      </c>
      <c r="P30" s="324">
        <f t="shared" si="12"/>
        <v>0</v>
      </c>
      <c r="Q30" s="325">
        <f t="shared" si="3"/>
        <v>0</v>
      </c>
      <c r="R30" s="324">
        <f t="shared" si="13"/>
        <v>0</v>
      </c>
      <c r="S30" s="323">
        <f t="shared" si="14"/>
        <v>0</v>
      </c>
      <c r="T30" s="283"/>
      <c r="U30" s="324">
        <f t="shared" si="15"/>
        <v>0</v>
      </c>
      <c r="V30" s="324">
        <f t="shared" si="16"/>
        <v>0</v>
      </c>
      <c r="W30" s="325">
        <f t="shared" si="4"/>
        <v>0</v>
      </c>
      <c r="X30" s="324">
        <f t="shared" si="17"/>
        <v>0</v>
      </c>
      <c r="Y30" s="323">
        <f t="shared" si="18"/>
        <v>0</v>
      </c>
      <c r="Z30" s="283"/>
      <c r="AA30" s="324">
        <f t="shared" si="19"/>
        <v>0</v>
      </c>
      <c r="AB30" s="324">
        <f t="shared" si="20"/>
        <v>0</v>
      </c>
      <c r="AC30" s="324">
        <f t="shared" si="5"/>
        <v>0</v>
      </c>
      <c r="AD30" s="322">
        <f t="shared" si="21"/>
        <v>0</v>
      </c>
      <c r="AE30" s="323">
        <f t="shared" si="22"/>
        <v>0</v>
      </c>
      <c r="AF30" s="283"/>
      <c r="AG30" s="324">
        <f t="shared" si="23"/>
        <v>0</v>
      </c>
      <c r="AH30" s="324">
        <f t="shared" si="24"/>
        <v>0</v>
      </c>
      <c r="AI30" s="325">
        <f t="shared" si="6"/>
        <v>0</v>
      </c>
      <c r="AJ30" s="269">
        <f t="shared" si="25"/>
        <v>0</v>
      </c>
    </row>
    <row r="31" spans="1:36" hidden="1" outlineLevel="1" x14ac:dyDescent="0.3">
      <c r="A31" s="281"/>
      <c r="B31" s="275"/>
      <c r="C31" s="275" t="s">
        <v>50</v>
      </c>
      <c r="D31" s="317">
        <f t="shared" si="7"/>
        <v>0.18</v>
      </c>
      <c r="E31" s="282"/>
      <c r="F31" s="322">
        <f>IF(AND($E$8="DHHS",E31&gt;'Stipends &amp; Salary Caps'!$B$22),'Stipends &amp; Salary Caps'!$B$22,IF(AND($F$9="PCORI",E31&gt;'Stipends &amp; Salary Caps'!$B$23),'Stipends &amp; Salary Caps'!$B$23,E31))</f>
        <v>0</v>
      </c>
      <c r="G31" s="323">
        <f t="shared" si="8"/>
        <v>0</v>
      </c>
      <c r="H31" s="283"/>
      <c r="I31" s="324">
        <f t="shared" si="9"/>
        <v>0</v>
      </c>
      <c r="J31" s="324">
        <f>I31*D31</f>
        <v>0</v>
      </c>
      <c r="K31" s="325">
        <f t="shared" si="2"/>
        <v>0</v>
      </c>
      <c r="L31" s="324">
        <f t="shared" si="26"/>
        <v>0</v>
      </c>
      <c r="M31" s="323">
        <f t="shared" si="11"/>
        <v>0</v>
      </c>
      <c r="N31" s="283"/>
      <c r="O31" s="324">
        <f t="shared" si="27"/>
        <v>0</v>
      </c>
      <c r="P31" s="324">
        <f t="shared" si="12"/>
        <v>0</v>
      </c>
      <c r="Q31" s="325">
        <f t="shared" si="3"/>
        <v>0</v>
      </c>
      <c r="R31" s="324">
        <f t="shared" si="13"/>
        <v>0</v>
      </c>
      <c r="S31" s="323">
        <f t="shared" si="14"/>
        <v>0</v>
      </c>
      <c r="T31" s="283"/>
      <c r="U31" s="324">
        <f t="shared" si="15"/>
        <v>0</v>
      </c>
      <c r="V31" s="324">
        <f t="shared" si="16"/>
        <v>0</v>
      </c>
      <c r="W31" s="325">
        <f t="shared" si="4"/>
        <v>0</v>
      </c>
      <c r="X31" s="324">
        <f t="shared" si="17"/>
        <v>0</v>
      </c>
      <c r="Y31" s="323">
        <f t="shared" si="18"/>
        <v>0</v>
      </c>
      <c r="Z31" s="283"/>
      <c r="AA31" s="324">
        <f t="shared" si="19"/>
        <v>0</v>
      </c>
      <c r="AB31" s="324">
        <f t="shared" si="20"/>
        <v>0</v>
      </c>
      <c r="AC31" s="324">
        <f t="shared" si="5"/>
        <v>0</v>
      </c>
      <c r="AD31" s="322">
        <f t="shared" si="21"/>
        <v>0</v>
      </c>
      <c r="AE31" s="323">
        <f t="shared" si="22"/>
        <v>0</v>
      </c>
      <c r="AF31" s="283"/>
      <c r="AG31" s="324">
        <f t="shared" si="23"/>
        <v>0</v>
      </c>
      <c r="AH31" s="324">
        <f t="shared" si="24"/>
        <v>0</v>
      </c>
      <c r="AI31" s="325">
        <f t="shared" si="6"/>
        <v>0</v>
      </c>
      <c r="AJ31" s="269">
        <f t="shared" si="25"/>
        <v>0</v>
      </c>
    </row>
    <row r="32" spans="1:36" hidden="1" outlineLevel="1" x14ac:dyDescent="0.3">
      <c r="A32" s="14" t="s">
        <v>93</v>
      </c>
      <c r="B32" s="17"/>
      <c r="C32" s="1"/>
      <c r="D32" s="456"/>
      <c r="E32" s="2"/>
      <c r="F32" s="322"/>
      <c r="G32" s="323"/>
      <c r="H32" s="25"/>
      <c r="I32" s="324"/>
      <c r="J32" s="324"/>
      <c r="K32" s="325"/>
      <c r="L32" s="324"/>
      <c r="M32" s="323"/>
      <c r="N32" s="25"/>
      <c r="O32" s="324"/>
      <c r="P32" s="324"/>
      <c r="Q32" s="325"/>
      <c r="R32" s="324"/>
      <c r="S32" s="323"/>
      <c r="T32" s="25"/>
      <c r="U32" s="324"/>
      <c r="V32" s="324"/>
      <c r="W32" s="325"/>
      <c r="X32" s="324"/>
      <c r="Y32" s="323"/>
      <c r="Z32" s="25"/>
      <c r="AA32" s="324"/>
      <c r="AB32" s="324"/>
      <c r="AC32" s="324"/>
      <c r="AD32" s="322"/>
      <c r="AE32" s="323"/>
      <c r="AF32" s="25"/>
      <c r="AG32" s="324"/>
      <c r="AH32" s="324"/>
      <c r="AI32" s="325"/>
      <c r="AJ32" s="269"/>
    </row>
    <row r="33" spans="1:36" hidden="1" outlineLevel="1" x14ac:dyDescent="0.3">
      <c r="A33" s="281"/>
      <c r="B33" s="275"/>
      <c r="C33" s="275" t="s">
        <v>58</v>
      </c>
      <c r="D33" s="317">
        <f t="shared" ref="D33:D42" si="28">LOOKUP(C33,$A$9:$A$12,$B$9:$B$12)</f>
        <v>0.1</v>
      </c>
      <c r="E33" s="284">
        <v>0</v>
      </c>
      <c r="F33" s="322">
        <v>0</v>
      </c>
      <c r="G33" s="323">
        <f t="shared" si="8"/>
        <v>0</v>
      </c>
      <c r="H33" s="283"/>
      <c r="I33" s="324">
        <f t="shared" ref="I33:I42" si="29">$E33*H33</f>
        <v>0</v>
      </c>
      <c r="J33" s="324">
        <f t="shared" si="10"/>
        <v>0</v>
      </c>
      <c r="K33" s="325">
        <f t="shared" ref="K33:K42" si="30">I33+J33</f>
        <v>0</v>
      </c>
      <c r="L33" s="324">
        <f t="shared" si="26"/>
        <v>0</v>
      </c>
      <c r="M33" s="323">
        <f t="shared" si="11"/>
        <v>0</v>
      </c>
      <c r="N33" s="283"/>
      <c r="O33" s="324">
        <f t="shared" ref="O33:O42" si="31">$E33*N33</f>
        <v>0</v>
      </c>
      <c r="P33" s="324">
        <f t="shared" si="12"/>
        <v>0</v>
      </c>
      <c r="Q33" s="325">
        <f t="shared" ref="Q33:Q42" si="32">O33+P33</f>
        <v>0</v>
      </c>
      <c r="R33" s="324">
        <f t="shared" si="13"/>
        <v>0</v>
      </c>
      <c r="S33" s="323">
        <f t="shared" si="14"/>
        <v>0</v>
      </c>
      <c r="T33" s="283"/>
      <c r="U33" s="324">
        <f t="shared" ref="U33:U42" si="33">$E33*T33</f>
        <v>0</v>
      </c>
      <c r="V33" s="324">
        <f t="shared" si="16"/>
        <v>0</v>
      </c>
      <c r="W33" s="325">
        <f t="shared" ref="W33:W42" si="34">U33+V33</f>
        <v>0</v>
      </c>
      <c r="X33" s="324">
        <f t="shared" si="17"/>
        <v>0</v>
      </c>
      <c r="Y33" s="323">
        <f t="shared" si="18"/>
        <v>0</v>
      </c>
      <c r="Z33" s="283"/>
      <c r="AA33" s="324">
        <f t="shared" ref="AA33:AA42" si="35">$E33*Z33</f>
        <v>0</v>
      </c>
      <c r="AB33" s="324">
        <f t="shared" si="20"/>
        <v>0</v>
      </c>
      <c r="AC33" s="324">
        <f t="shared" ref="AC33:AC42" si="36">AA33+AB33</f>
        <v>0</v>
      </c>
      <c r="AD33" s="322">
        <f t="shared" si="21"/>
        <v>0</v>
      </c>
      <c r="AE33" s="323">
        <f t="shared" si="22"/>
        <v>0</v>
      </c>
      <c r="AF33" s="283"/>
      <c r="AG33" s="324">
        <f t="shared" ref="AG33:AG42" si="37">$E33*AF33</f>
        <v>0</v>
      </c>
      <c r="AH33" s="324">
        <f t="shared" si="24"/>
        <v>0</v>
      </c>
      <c r="AI33" s="325">
        <f t="shared" ref="AI33:AI42" si="38">AG33+AH33</f>
        <v>0</v>
      </c>
      <c r="AJ33" s="269">
        <f t="shared" ref="AJ33:AJ43" si="39">K33+Q33+W33+AC33+AI33</f>
        <v>0</v>
      </c>
    </row>
    <row r="34" spans="1:36" hidden="1" outlineLevel="1" x14ac:dyDescent="0.3">
      <c r="A34" s="281"/>
      <c r="B34" s="275"/>
      <c r="C34" s="275" t="s">
        <v>58</v>
      </c>
      <c r="D34" s="317">
        <f t="shared" si="28"/>
        <v>0.1</v>
      </c>
      <c r="E34" s="282"/>
      <c r="F34" s="322">
        <f t="shared" ref="F34:F42" si="40">IF(E34&gt;187000,187000,E34)</f>
        <v>0</v>
      </c>
      <c r="G34" s="323">
        <f t="shared" si="8"/>
        <v>0</v>
      </c>
      <c r="H34" s="283"/>
      <c r="I34" s="324">
        <f t="shared" si="29"/>
        <v>0</v>
      </c>
      <c r="J34" s="324">
        <f t="shared" si="10"/>
        <v>0</v>
      </c>
      <c r="K34" s="325">
        <f t="shared" si="30"/>
        <v>0</v>
      </c>
      <c r="L34" s="324">
        <f t="shared" si="26"/>
        <v>0</v>
      </c>
      <c r="M34" s="323">
        <f t="shared" si="11"/>
        <v>0</v>
      </c>
      <c r="N34" s="283"/>
      <c r="O34" s="324">
        <f t="shared" si="31"/>
        <v>0</v>
      </c>
      <c r="P34" s="324">
        <f t="shared" si="12"/>
        <v>0</v>
      </c>
      <c r="Q34" s="325">
        <f t="shared" si="32"/>
        <v>0</v>
      </c>
      <c r="R34" s="324">
        <f t="shared" si="13"/>
        <v>0</v>
      </c>
      <c r="S34" s="323">
        <f t="shared" si="14"/>
        <v>0</v>
      </c>
      <c r="T34" s="283"/>
      <c r="U34" s="324">
        <f t="shared" si="33"/>
        <v>0</v>
      </c>
      <c r="V34" s="324">
        <f t="shared" si="16"/>
        <v>0</v>
      </c>
      <c r="W34" s="325">
        <f t="shared" si="34"/>
        <v>0</v>
      </c>
      <c r="X34" s="324">
        <f t="shared" si="17"/>
        <v>0</v>
      </c>
      <c r="Y34" s="323">
        <f t="shared" si="18"/>
        <v>0</v>
      </c>
      <c r="Z34" s="283"/>
      <c r="AA34" s="324">
        <f t="shared" si="35"/>
        <v>0</v>
      </c>
      <c r="AB34" s="324">
        <f t="shared" si="20"/>
        <v>0</v>
      </c>
      <c r="AC34" s="324">
        <f t="shared" si="36"/>
        <v>0</v>
      </c>
      <c r="AD34" s="322">
        <f t="shared" si="21"/>
        <v>0</v>
      </c>
      <c r="AE34" s="323">
        <f t="shared" si="22"/>
        <v>0</v>
      </c>
      <c r="AF34" s="283"/>
      <c r="AG34" s="324">
        <f t="shared" si="37"/>
        <v>0</v>
      </c>
      <c r="AH34" s="324">
        <f t="shared" si="24"/>
        <v>0</v>
      </c>
      <c r="AI34" s="325">
        <f t="shared" si="38"/>
        <v>0</v>
      </c>
      <c r="AJ34" s="269">
        <f t="shared" si="39"/>
        <v>0</v>
      </c>
    </row>
    <row r="35" spans="1:36" hidden="1" outlineLevel="1" x14ac:dyDescent="0.3">
      <c r="A35" s="281"/>
      <c r="B35" s="275"/>
      <c r="C35" s="275" t="s">
        <v>58</v>
      </c>
      <c r="D35" s="317">
        <f t="shared" si="28"/>
        <v>0.1</v>
      </c>
      <c r="E35" s="282"/>
      <c r="F35" s="322">
        <f t="shared" si="40"/>
        <v>0</v>
      </c>
      <c r="G35" s="323">
        <f t="shared" si="8"/>
        <v>0</v>
      </c>
      <c r="H35" s="283"/>
      <c r="I35" s="324">
        <f t="shared" si="29"/>
        <v>0</v>
      </c>
      <c r="J35" s="324">
        <f t="shared" si="10"/>
        <v>0</v>
      </c>
      <c r="K35" s="325">
        <f t="shared" si="30"/>
        <v>0</v>
      </c>
      <c r="L35" s="324">
        <f t="shared" si="26"/>
        <v>0</v>
      </c>
      <c r="M35" s="323">
        <f t="shared" si="11"/>
        <v>0</v>
      </c>
      <c r="N35" s="283"/>
      <c r="O35" s="324">
        <f t="shared" si="31"/>
        <v>0</v>
      </c>
      <c r="P35" s="324">
        <f t="shared" si="12"/>
        <v>0</v>
      </c>
      <c r="Q35" s="325">
        <f t="shared" si="32"/>
        <v>0</v>
      </c>
      <c r="R35" s="324">
        <f t="shared" si="13"/>
        <v>0</v>
      </c>
      <c r="S35" s="323">
        <f t="shared" si="14"/>
        <v>0</v>
      </c>
      <c r="T35" s="283"/>
      <c r="U35" s="324">
        <f t="shared" si="33"/>
        <v>0</v>
      </c>
      <c r="V35" s="324">
        <f t="shared" si="16"/>
        <v>0</v>
      </c>
      <c r="W35" s="325">
        <f t="shared" si="34"/>
        <v>0</v>
      </c>
      <c r="X35" s="324">
        <f t="shared" si="17"/>
        <v>0</v>
      </c>
      <c r="Y35" s="323">
        <f t="shared" si="18"/>
        <v>0</v>
      </c>
      <c r="Z35" s="283"/>
      <c r="AA35" s="324">
        <f t="shared" si="35"/>
        <v>0</v>
      </c>
      <c r="AB35" s="324">
        <f t="shared" si="20"/>
        <v>0</v>
      </c>
      <c r="AC35" s="324">
        <f t="shared" si="36"/>
        <v>0</v>
      </c>
      <c r="AD35" s="322">
        <f t="shared" si="21"/>
        <v>0</v>
      </c>
      <c r="AE35" s="323">
        <f t="shared" si="22"/>
        <v>0</v>
      </c>
      <c r="AF35" s="283"/>
      <c r="AG35" s="324">
        <f t="shared" si="37"/>
        <v>0</v>
      </c>
      <c r="AH35" s="324">
        <f t="shared" si="24"/>
        <v>0</v>
      </c>
      <c r="AI35" s="325">
        <f t="shared" si="38"/>
        <v>0</v>
      </c>
      <c r="AJ35" s="269">
        <f t="shared" si="39"/>
        <v>0</v>
      </c>
    </row>
    <row r="36" spans="1:36" hidden="1" outlineLevel="1" x14ac:dyDescent="0.3">
      <c r="A36" s="281"/>
      <c r="B36" s="275"/>
      <c r="C36" s="275" t="s">
        <v>58</v>
      </c>
      <c r="D36" s="317">
        <f t="shared" si="28"/>
        <v>0.1</v>
      </c>
      <c r="E36" s="282"/>
      <c r="F36" s="322">
        <f t="shared" si="40"/>
        <v>0</v>
      </c>
      <c r="G36" s="323">
        <f t="shared" si="8"/>
        <v>0</v>
      </c>
      <c r="H36" s="283"/>
      <c r="I36" s="324">
        <f t="shared" si="29"/>
        <v>0</v>
      </c>
      <c r="J36" s="324">
        <f t="shared" si="10"/>
        <v>0</v>
      </c>
      <c r="K36" s="325">
        <f t="shared" si="30"/>
        <v>0</v>
      </c>
      <c r="L36" s="324">
        <f t="shared" si="26"/>
        <v>0</v>
      </c>
      <c r="M36" s="323">
        <f t="shared" si="11"/>
        <v>0</v>
      </c>
      <c r="N36" s="283"/>
      <c r="O36" s="324">
        <f t="shared" si="31"/>
        <v>0</v>
      </c>
      <c r="P36" s="324">
        <f t="shared" si="12"/>
        <v>0</v>
      </c>
      <c r="Q36" s="325">
        <f t="shared" si="32"/>
        <v>0</v>
      </c>
      <c r="R36" s="324">
        <f t="shared" si="13"/>
        <v>0</v>
      </c>
      <c r="S36" s="323">
        <f t="shared" si="14"/>
        <v>0</v>
      </c>
      <c r="T36" s="283"/>
      <c r="U36" s="324">
        <f t="shared" si="33"/>
        <v>0</v>
      </c>
      <c r="V36" s="324">
        <f t="shared" si="16"/>
        <v>0</v>
      </c>
      <c r="W36" s="325">
        <f t="shared" si="34"/>
        <v>0</v>
      </c>
      <c r="X36" s="324">
        <f t="shared" si="17"/>
        <v>0</v>
      </c>
      <c r="Y36" s="323">
        <f t="shared" si="18"/>
        <v>0</v>
      </c>
      <c r="Z36" s="283"/>
      <c r="AA36" s="324">
        <f t="shared" si="35"/>
        <v>0</v>
      </c>
      <c r="AB36" s="324">
        <f t="shared" si="20"/>
        <v>0</v>
      </c>
      <c r="AC36" s="324">
        <f t="shared" si="36"/>
        <v>0</v>
      </c>
      <c r="AD36" s="322">
        <f t="shared" si="21"/>
        <v>0</v>
      </c>
      <c r="AE36" s="323">
        <f t="shared" si="22"/>
        <v>0</v>
      </c>
      <c r="AF36" s="283"/>
      <c r="AG36" s="324">
        <f t="shared" si="37"/>
        <v>0</v>
      </c>
      <c r="AH36" s="324">
        <f t="shared" si="24"/>
        <v>0</v>
      </c>
      <c r="AI36" s="325">
        <f t="shared" si="38"/>
        <v>0</v>
      </c>
      <c r="AJ36" s="269">
        <f t="shared" si="39"/>
        <v>0</v>
      </c>
    </row>
    <row r="37" spans="1:36" hidden="1" outlineLevel="1" x14ac:dyDescent="0.3">
      <c r="A37" s="281"/>
      <c r="B37" s="275"/>
      <c r="C37" s="275" t="s">
        <v>58</v>
      </c>
      <c r="D37" s="317">
        <f t="shared" si="28"/>
        <v>0.1</v>
      </c>
      <c r="E37" s="282"/>
      <c r="F37" s="322">
        <f t="shared" si="40"/>
        <v>0</v>
      </c>
      <c r="G37" s="323">
        <f t="shared" si="8"/>
        <v>0</v>
      </c>
      <c r="H37" s="283"/>
      <c r="I37" s="324">
        <f t="shared" si="29"/>
        <v>0</v>
      </c>
      <c r="J37" s="324">
        <f t="shared" si="10"/>
        <v>0</v>
      </c>
      <c r="K37" s="325">
        <f t="shared" si="30"/>
        <v>0</v>
      </c>
      <c r="L37" s="324">
        <f t="shared" si="26"/>
        <v>0</v>
      </c>
      <c r="M37" s="323">
        <f t="shared" si="11"/>
        <v>0</v>
      </c>
      <c r="N37" s="283"/>
      <c r="O37" s="324">
        <f t="shared" si="31"/>
        <v>0</v>
      </c>
      <c r="P37" s="324">
        <f t="shared" si="12"/>
        <v>0</v>
      </c>
      <c r="Q37" s="325">
        <f t="shared" si="32"/>
        <v>0</v>
      </c>
      <c r="R37" s="324">
        <f t="shared" si="13"/>
        <v>0</v>
      </c>
      <c r="S37" s="323">
        <f t="shared" si="14"/>
        <v>0</v>
      </c>
      <c r="T37" s="283"/>
      <c r="U37" s="324">
        <f t="shared" si="33"/>
        <v>0</v>
      </c>
      <c r="V37" s="324">
        <f t="shared" si="16"/>
        <v>0</v>
      </c>
      <c r="W37" s="325">
        <f t="shared" si="34"/>
        <v>0</v>
      </c>
      <c r="X37" s="324">
        <f t="shared" si="17"/>
        <v>0</v>
      </c>
      <c r="Y37" s="323">
        <f t="shared" si="18"/>
        <v>0</v>
      </c>
      <c r="Z37" s="283"/>
      <c r="AA37" s="324">
        <f t="shared" si="35"/>
        <v>0</v>
      </c>
      <c r="AB37" s="324">
        <f t="shared" si="20"/>
        <v>0</v>
      </c>
      <c r="AC37" s="324">
        <f t="shared" si="36"/>
        <v>0</v>
      </c>
      <c r="AD37" s="322">
        <f t="shared" si="21"/>
        <v>0</v>
      </c>
      <c r="AE37" s="323">
        <f t="shared" si="22"/>
        <v>0</v>
      </c>
      <c r="AF37" s="283"/>
      <c r="AG37" s="324">
        <f t="shared" si="37"/>
        <v>0</v>
      </c>
      <c r="AH37" s="324">
        <f t="shared" si="24"/>
        <v>0</v>
      </c>
      <c r="AI37" s="325">
        <f t="shared" si="38"/>
        <v>0</v>
      </c>
      <c r="AJ37" s="269">
        <f t="shared" si="39"/>
        <v>0</v>
      </c>
    </row>
    <row r="38" spans="1:36" hidden="1" outlineLevel="1" x14ac:dyDescent="0.3">
      <c r="A38" s="281"/>
      <c r="B38" s="275"/>
      <c r="C38" s="275" t="s">
        <v>58</v>
      </c>
      <c r="D38" s="317">
        <f t="shared" si="28"/>
        <v>0.1</v>
      </c>
      <c r="E38" s="282"/>
      <c r="F38" s="322">
        <f t="shared" si="40"/>
        <v>0</v>
      </c>
      <c r="G38" s="323">
        <f t="shared" si="8"/>
        <v>0</v>
      </c>
      <c r="H38" s="283"/>
      <c r="I38" s="324">
        <f t="shared" si="29"/>
        <v>0</v>
      </c>
      <c r="J38" s="324">
        <f t="shared" si="10"/>
        <v>0</v>
      </c>
      <c r="K38" s="325">
        <f t="shared" si="30"/>
        <v>0</v>
      </c>
      <c r="L38" s="324">
        <f t="shared" si="26"/>
        <v>0</v>
      </c>
      <c r="M38" s="323">
        <f t="shared" si="11"/>
        <v>0</v>
      </c>
      <c r="N38" s="283"/>
      <c r="O38" s="324">
        <f t="shared" si="31"/>
        <v>0</v>
      </c>
      <c r="P38" s="324">
        <f t="shared" si="12"/>
        <v>0</v>
      </c>
      <c r="Q38" s="325">
        <f t="shared" si="32"/>
        <v>0</v>
      </c>
      <c r="R38" s="324">
        <f t="shared" si="13"/>
        <v>0</v>
      </c>
      <c r="S38" s="323">
        <f t="shared" si="14"/>
        <v>0</v>
      </c>
      <c r="T38" s="283"/>
      <c r="U38" s="324">
        <f t="shared" si="33"/>
        <v>0</v>
      </c>
      <c r="V38" s="324">
        <f t="shared" si="16"/>
        <v>0</v>
      </c>
      <c r="W38" s="325">
        <f t="shared" si="34"/>
        <v>0</v>
      </c>
      <c r="X38" s="324">
        <f t="shared" si="17"/>
        <v>0</v>
      </c>
      <c r="Y38" s="323">
        <f t="shared" si="18"/>
        <v>0</v>
      </c>
      <c r="Z38" s="283"/>
      <c r="AA38" s="324">
        <f t="shared" si="35"/>
        <v>0</v>
      </c>
      <c r="AB38" s="324">
        <f t="shared" si="20"/>
        <v>0</v>
      </c>
      <c r="AC38" s="324">
        <f t="shared" si="36"/>
        <v>0</v>
      </c>
      <c r="AD38" s="322">
        <f t="shared" si="21"/>
        <v>0</v>
      </c>
      <c r="AE38" s="323">
        <f t="shared" si="22"/>
        <v>0</v>
      </c>
      <c r="AF38" s="283"/>
      <c r="AG38" s="324">
        <f t="shared" si="37"/>
        <v>0</v>
      </c>
      <c r="AH38" s="324">
        <f t="shared" si="24"/>
        <v>0</v>
      </c>
      <c r="AI38" s="325">
        <f t="shared" si="38"/>
        <v>0</v>
      </c>
      <c r="AJ38" s="269">
        <f t="shared" si="39"/>
        <v>0</v>
      </c>
    </row>
    <row r="39" spans="1:36" hidden="1" outlineLevel="1" x14ac:dyDescent="0.3">
      <c r="A39" s="281"/>
      <c r="B39" s="275"/>
      <c r="C39" s="275" t="s">
        <v>58</v>
      </c>
      <c r="D39" s="317">
        <f t="shared" si="28"/>
        <v>0.1</v>
      </c>
      <c r="E39" s="282"/>
      <c r="F39" s="322">
        <f t="shared" si="40"/>
        <v>0</v>
      </c>
      <c r="G39" s="323">
        <f t="shared" si="8"/>
        <v>0</v>
      </c>
      <c r="H39" s="283"/>
      <c r="I39" s="324">
        <f t="shared" si="29"/>
        <v>0</v>
      </c>
      <c r="J39" s="324">
        <f t="shared" si="10"/>
        <v>0</v>
      </c>
      <c r="K39" s="325">
        <f t="shared" si="30"/>
        <v>0</v>
      </c>
      <c r="L39" s="324">
        <f t="shared" si="26"/>
        <v>0</v>
      </c>
      <c r="M39" s="323">
        <f t="shared" si="11"/>
        <v>0</v>
      </c>
      <c r="N39" s="283"/>
      <c r="O39" s="324">
        <f t="shared" si="31"/>
        <v>0</v>
      </c>
      <c r="P39" s="324">
        <f t="shared" si="12"/>
        <v>0</v>
      </c>
      <c r="Q39" s="325">
        <f t="shared" si="32"/>
        <v>0</v>
      </c>
      <c r="R39" s="324">
        <f t="shared" si="13"/>
        <v>0</v>
      </c>
      <c r="S39" s="323">
        <f t="shared" si="14"/>
        <v>0</v>
      </c>
      <c r="T39" s="283"/>
      <c r="U39" s="324">
        <f t="shared" si="33"/>
        <v>0</v>
      </c>
      <c r="V39" s="324">
        <f t="shared" si="16"/>
        <v>0</v>
      </c>
      <c r="W39" s="325">
        <f t="shared" si="34"/>
        <v>0</v>
      </c>
      <c r="X39" s="324">
        <f t="shared" si="17"/>
        <v>0</v>
      </c>
      <c r="Y39" s="323">
        <f t="shared" si="18"/>
        <v>0</v>
      </c>
      <c r="Z39" s="283"/>
      <c r="AA39" s="324">
        <f t="shared" si="35"/>
        <v>0</v>
      </c>
      <c r="AB39" s="324">
        <f t="shared" si="20"/>
        <v>0</v>
      </c>
      <c r="AC39" s="324">
        <f t="shared" si="36"/>
        <v>0</v>
      </c>
      <c r="AD39" s="322">
        <f t="shared" si="21"/>
        <v>0</v>
      </c>
      <c r="AE39" s="323">
        <f t="shared" si="22"/>
        <v>0</v>
      </c>
      <c r="AF39" s="283"/>
      <c r="AG39" s="324">
        <f t="shared" si="37"/>
        <v>0</v>
      </c>
      <c r="AH39" s="324">
        <f t="shared" si="24"/>
        <v>0</v>
      </c>
      <c r="AI39" s="325">
        <f t="shared" si="38"/>
        <v>0</v>
      </c>
      <c r="AJ39" s="269">
        <f t="shared" si="39"/>
        <v>0</v>
      </c>
    </row>
    <row r="40" spans="1:36" hidden="1" outlineLevel="1" x14ac:dyDescent="0.3">
      <c r="A40" s="281"/>
      <c r="B40" s="275"/>
      <c r="C40" s="275" t="s">
        <v>58</v>
      </c>
      <c r="D40" s="317">
        <f t="shared" si="28"/>
        <v>0.1</v>
      </c>
      <c r="E40" s="282"/>
      <c r="F40" s="322">
        <f t="shared" si="40"/>
        <v>0</v>
      </c>
      <c r="G40" s="323">
        <f t="shared" si="8"/>
        <v>0</v>
      </c>
      <c r="H40" s="283"/>
      <c r="I40" s="324">
        <f t="shared" si="29"/>
        <v>0</v>
      </c>
      <c r="J40" s="324">
        <f t="shared" si="10"/>
        <v>0</v>
      </c>
      <c r="K40" s="325">
        <f t="shared" si="30"/>
        <v>0</v>
      </c>
      <c r="L40" s="324">
        <f t="shared" si="26"/>
        <v>0</v>
      </c>
      <c r="M40" s="323">
        <f t="shared" si="11"/>
        <v>0</v>
      </c>
      <c r="N40" s="283"/>
      <c r="O40" s="324">
        <f t="shared" si="31"/>
        <v>0</v>
      </c>
      <c r="P40" s="324">
        <f t="shared" si="12"/>
        <v>0</v>
      </c>
      <c r="Q40" s="325">
        <f t="shared" si="32"/>
        <v>0</v>
      </c>
      <c r="R40" s="324">
        <f t="shared" si="13"/>
        <v>0</v>
      </c>
      <c r="S40" s="323">
        <f t="shared" si="14"/>
        <v>0</v>
      </c>
      <c r="T40" s="283"/>
      <c r="U40" s="324">
        <f t="shared" si="33"/>
        <v>0</v>
      </c>
      <c r="V40" s="324">
        <f t="shared" si="16"/>
        <v>0</v>
      </c>
      <c r="W40" s="325">
        <f t="shared" si="34"/>
        <v>0</v>
      </c>
      <c r="X40" s="324">
        <f t="shared" si="17"/>
        <v>0</v>
      </c>
      <c r="Y40" s="323">
        <f t="shared" si="18"/>
        <v>0</v>
      </c>
      <c r="Z40" s="283"/>
      <c r="AA40" s="324">
        <f t="shared" si="35"/>
        <v>0</v>
      </c>
      <c r="AB40" s="324">
        <f t="shared" si="20"/>
        <v>0</v>
      </c>
      <c r="AC40" s="324">
        <f t="shared" si="36"/>
        <v>0</v>
      </c>
      <c r="AD40" s="322">
        <f t="shared" si="21"/>
        <v>0</v>
      </c>
      <c r="AE40" s="323">
        <f t="shared" si="22"/>
        <v>0</v>
      </c>
      <c r="AF40" s="283"/>
      <c r="AG40" s="324">
        <f t="shared" si="37"/>
        <v>0</v>
      </c>
      <c r="AH40" s="324">
        <f t="shared" si="24"/>
        <v>0</v>
      </c>
      <c r="AI40" s="325">
        <f t="shared" si="38"/>
        <v>0</v>
      </c>
      <c r="AJ40" s="269">
        <f t="shared" si="39"/>
        <v>0</v>
      </c>
    </row>
    <row r="41" spans="1:36" hidden="1" outlineLevel="1" x14ac:dyDescent="0.3">
      <c r="A41" s="281"/>
      <c r="B41" s="275"/>
      <c r="C41" s="275" t="s">
        <v>58</v>
      </c>
      <c r="D41" s="317">
        <f t="shared" si="28"/>
        <v>0.1</v>
      </c>
      <c r="E41" s="282"/>
      <c r="F41" s="322">
        <f t="shared" si="40"/>
        <v>0</v>
      </c>
      <c r="G41" s="323">
        <f t="shared" si="8"/>
        <v>0</v>
      </c>
      <c r="H41" s="283"/>
      <c r="I41" s="324">
        <f t="shared" si="29"/>
        <v>0</v>
      </c>
      <c r="J41" s="324">
        <f t="shared" si="10"/>
        <v>0</v>
      </c>
      <c r="K41" s="325">
        <f t="shared" si="30"/>
        <v>0</v>
      </c>
      <c r="L41" s="324">
        <f t="shared" si="26"/>
        <v>0</v>
      </c>
      <c r="M41" s="323">
        <f t="shared" si="11"/>
        <v>0</v>
      </c>
      <c r="N41" s="283"/>
      <c r="O41" s="324">
        <f t="shared" si="31"/>
        <v>0</v>
      </c>
      <c r="P41" s="324">
        <f t="shared" si="12"/>
        <v>0</v>
      </c>
      <c r="Q41" s="325">
        <f t="shared" si="32"/>
        <v>0</v>
      </c>
      <c r="R41" s="324">
        <f t="shared" si="13"/>
        <v>0</v>
      </c>
      <c r="S41" s="323">
        <f t="shared" si="14"/>
        <v>0</v>
      </c>
      <c r="T41" s="283"/>
      <c r="U41" s="324">
        <f t="shared" si="33"/>
        <v>0</v>
      </c>
      <c r="V41" s="324">
        <f t="shared" si="16"/>
        <v>0</v>
      </c>
      <c r="W41" s="325">
        <f t="shared" si="34"/>
        <v>0</v>
      </c>
      <c r="X41" s="324">
        <f t="shared" si="17"/>
        <v>0</v>
      </c>
      <c r="Y41" s="323">
        <f t="shared" si="18"/>
        <v>0</v>
      </c>
      <c r="Z41" s="283"/>
      <c r="AA41" s="324">
        <f t="shared" si="35"/>
        <v>0</v>
      </c>
      <c r="AB41" s="324">
        <f t="shared" si="20"/>
        <v>0</v>
      </c>
      <c r="AC41" s="324">
        <f t="shared" si="36"/>
        <v>0</v>
      </c>
      <c r="AD41" s="322">
        <f t="shared" si="21"/>
        <v>0</v>
      </c>
      <c r="AE41" s="323">
        <f t="shared" si="22"/>
        <v>0</v>
      </c>
      <c r="AF41" s="283"/>
      <c r="AG41" s="324">
        <f t="shared" si="37"/>
        <v>0</v>
      </c>
      <c r="AH41" s="324">
        <f t="shared" si="24"/>
        <v>0</v>
      </c>
      <c r="AI41" s="325">
        <f t="shared" si="38"/>
        <v>0</v>
      </c>
      <c r="AJ41" s="269">
        <f t="shared" si="39"/>
        <v>0</v>
      </c>
    </row>
    <row r="42" spans="1:36" hidden="1" outlineLevel="1" x14ac:dyDescent="0.3">
      <c r="A42" s="281"/>
      <c r="B42" s="275"/>
      <c r="C42" s="275" t="s">
        <v>58</v>
      </c>
      <c r="D42" s="426">
        <f t="shared" si="28"/>
        <v>0.1</v>
      </c>
      <c r="E42" s="282"/>
      <c r="F42" s="357">
        <f t="shared" si="40"/>
        <v>0</v>
      </c>
      <c r="G42" s="379">
        <f t="shared" si="8"/>
        <v>0</v>
      </c>
      <c r="H42" s="283"/>
      <c r="I42" s="358">
        <f t="shared" si="29"/>
        <v>0</v>
      </c>
      <c r="J42" s="358">
        <f t="shared" si="10"/>
        <v>0</v>
      </c>
      <c r="K42" s="359">
        <f t="shared" si="30"/>
        <v>0</v>
      </c>
      <c r="L42" s="358">
        <f t="shared" si="26"/>
        <v>0</v>
      </c>
      <c r="M42" s="379">
        <f t="shared" si="11"/>
        <v>0</v>
      </c>
      <c r="N42" s="283"/>
      <c r="O42" s="358">
        <f t="shared" si="31"/>
        <v>0</v>
      </c>
      <c r="P42" s="358">
        <f t="shared" si="12"/>
        <v>0</v>
      </c>
      <c r="Q42" s="359">
        <f t="shared" si="32"/>
        <v>0</v>
      </c>
      <c r="R42" s="358">
        <f t="shared" si="13"/>
        <v>0</v>
      </c>
      <c r="S42" s="379">
        <f t="shared" si="14"/>
        <v>0</v>
      </c>
      <c r="T42" s="283"/>
      <c r="U42" s="358">
        <f t="shared" si="33"/>
        <v>0</v>
      </c>
      <c r="V42" s="358">
        <f t="shared" si="16"/>
        <v>0</v>
      </c>
      <c r="W42" s="359">
        <f t="shared" si="34"/>
        <v>0</v>
      </c>
      <c r="X42" s="358">
        <f t="shared" si="17"/>
        <v>0</v>
      </c>
      <c r="Y42" s="379">
        <f t="shared" si="18"/>
        <v>0</v>
      </c>
      <c r="Z42" s="283"/>
      <c r="AA42" s="358">
        <f t="shared" si="35"/>
        <v>0</v>
      </c>
      <c r="AB42" s="358">
        <f t="shared" si="20"/>
        <v>0</v>
      </c>
      <c r="AC42" s="358">
        <f t="shared" si="36"/>
        <v>0</v>
      </c>
      <c r="AD42" s="357">
        <f t="shared" si="21"/>
        <v>0</v>
      </c>
      <c r="AE42" s="379">
        <f t="shared" si="22"/>
        <v>0</v>
      </c>
      <c r="AF42" s="283"/>
      <c r="AG42" s="358">
        <f t="shared" si="37"/>
        <v>0</v>
      </c>
      <c r="AH42" s="358">
        <f t="shared" si="24"/>
        <v>0</v>
      </c>
      <c r="AI42" s="359">
        <f t="shared" si="38"/>
        <v>0</v>
      </c>
      <c r="AJ42" s="269">
        <f t="shared" si="39"/>
        <v>0</v>
      </c>
    </row>
    <row r="43" spans="1:36" s="5" customFormat="1" ht="15" thickBot="1" x14ac:dyDescent="0.35">
      <c r="A43" s="301" t="s">
        <v>111</v>
      </c>
      <c r="B43" s="294"/>
      <c r="C43" s="294"/>
      <c r="D43" s="294"/>
      <c r="E43" s="299"/>
      <c r="F43" s="295"/>
      <c r="G43" s="296"/>
      <c r="H43" s="297"/>
      <c r="I43" s="298">
        <f>SUM(I21:I42)</f>
        <v>4656.3599999999997</v>
      </c>
      <c r="J43" s="298">
        <f>SUM(J21:J42)</f>
        <v>1396.9079999999999</v>
      </c>
      <c r="K43" s="300">
        <f>SUM(K21:K42)</f>
        <v>6053.268</v>
      </c>
      <c r="L43" s="299"/>
      <c r="M43" s="296"/>
      <c r="N43" s="297"/>
      <c r="O43" s="298">
        <f>SUM(O21:O42)</f>
        <v>11873.718000000001</v>
      </c>
      <c r="P43" s="298">
        <f>SUM(P21:P42)</f>
        <v>3562.1154000000001</v>
      </c>
      <c r="Q43" s="300">
        <f>SUM(Q21:Q42)</f>
        <v>15435.833400000001</v>
      </c>
      <c r="R43" s="299"/>
      <c r="S43" s="296"/>
      <c r="T43" s="297"/>
      <c r="U43" s="298">
        <f>SUM(U21:U42)</f>
        <v>12111.192360000001</v>
      </c>
      <c r="V43" s="298">
        <f>SUM(V21:V42)</f>
        <v>3633.357708</v>
      </c>
      <c r="W43" s="300">
        <f>SUM(W21:W42)</f>
        <v>15744.550068</v>
      </c>
      <c r="X43" s="299"/>
      <c r="Y43" s="296"/>
      <c r="Z43" s="297"/>
      <c r="AA43" s="298">
        <f>SUM(AA21:AA42)</f>
        <v>12353.416207200002</v>
      </c>
      <c r="AB43" s="298">
        <f>SUM(AB21:AB42)</f>
        <v>3706.0248621600003</v>
      </c>
      <c r="AC43" s="299">
        <f>SUM(AC21:AC42)</f>
        <v>16059.441069360002</v>
      </c>
      <c r="AD43" s="295"/>
      <c r="AE43" s="296"/>
      <c r="AF43" s="297"/>
      <c r="AG43" s="298">
        <f>SUM(AG21:AG42)</f>
        <v>0</v>
      </c>
      <c r="AH43" s="298">
        <f>SUM(AH21:AH42)</f>
        <v>0</v>
      </c>
      <c r="AI43" s="300">
        <f>SUM(AI21:AI42)</f>
        <v>0</v>
      </c>
      <c r="AJ43" s="287">
        <f t="shared" si="39"/>
        <v>53293.092537359997</v>
      </c>
    </row>
    <row r="44" spans="1:36" hidden="1" outlineLevel="1" x14ac:dyDescent="0.3">
      <c r="A44" s="371" t="s">
        <v>112</v>
      </c>
      <c r="B44" s="372"/>
      <c r="C44" s="372"/>
      <c r="D44" s="372"/>
      <c r="E44" s="365"/>
      <c r="F44" s="363"/>
      <c r="G44" s="364"/>
      <c r="H44" s="438"/>
      <c r="I44" s="365"/>
      <c r="J44" s="365"/>
      <c r="K44" s="3"/>
      <c r="L44" s="365"/>
      <c r="M44" s="364"/>
      <c r="N44" s="438"/>
      <c r="O44" s="365"/>
      <c r="P44" s="365"/>
      <c r="Q44" s="3"/>
      <c r="R44" s="2"/>
      <c r="S44" s="364"/>
      <c r="T44" s="438"/>
      <c r="U44" s="365"/>
      <c r="V44" s="365"/>
      <c r="W44" s="3"/>
      <c r="X44" s="2"/>
      <c r="Y44" s="364"/>
      <c r="Z44" s="438"/>
      <c r="AA44" s="365"/>
      <c r="AB44" s="365"/>
      <c r="AC44" s="2"/>
      <c r="AD44" s="74"/>
      <c r="AE44" s="364"/>
      <c r="AF44" s="438"/>
      <c r="AG44" s="365"/>
      <c r="AH44" s="365"/>
      <c r="AI44" s="3"/>
      <c r="AJ44" s="268"/>
    </row>
    <row r="45" spans="1:36" hidden="1" outlineLevel="1" x14ac:dyDescent="0.3">
      <c r="A45" s="340" t="s">
        <v>113</v>
      </c>
      <c r="B45" s="341"/>
      <c r="C45" s="341"/>
      <c r="D45" s="341"/>
      <c r="E45" s="324"/>
      <c r="F45" s="322"/>
      <c r="G45" s="323"/>
      <c r="H45" s="436"/>
      <c r="I45" s="324"/>
      <c r="J45" s="324"/>
      <c r="K45" s="286"/>
      <c r="L45" s="324"/>
      <c r="M45" s="323"/>
      <c r="N45" s="436"/>
      <c r="O45" s="324"/>
      <c r="P45" s="324"/>
      <c r="Q45" s="286"/>
      <c r="R45" s="282"/>
      <c r="S45" s="323"/>
      <c r="T45" s="436"/>
      <c r="U45" s="324"/>
      <c r="V45" s="324"/>
      <c r="W45" s="286"/>
      <c r="X45" s="282"/>
      <c r="Y45" s="323"/>
      <c r="Z45" s="436"/>
      <c r="AA45" s="324"/>
      <c r="AB45" s="324"/>
      <c r="AC45" s="282"/>
      <c r="AD45" s="285"/>
      <c r="AE45" s="323"/>
      <c r="AF45" s="436"/>
      <c r="AG45" s="324"/>
      <c r="AH45" s="324"/>
      <c r="AI45" s="286"/>
      <c r="AJ45" s="269">
        <f>K45+Q45+W45+AC45+AI45</f>
        <v>0</v>
      </c>
    </row>
    <row r="46" spans="1:36" hidden="1" outlineLevel="1" x14ac:dyDescent="0.3">
      <c r="A46" s="377"/>
      <c r="B46" s="378"/>
      <c r="C46" s="378"/>
      <c r="D46" s="378"/>
      <c r="E46" s="358"/>
      <c r="F46" s="357"/>
      <c r="G46" s="379"/>
      <c r="H46" s="437"/>
      <c r="I46" s="358"/>
      <c r="J46" s="358"/>
      <c r="K46" s="286"/>
      <c r="L46" s="358"/>
      <c r="M46" s="379"/>
      <c r="N46" s="437"/>
      <c r="O46" s="358"/>
      <c r="P46" s="358"/>
      <c r="Q46" s="286"/>
      <c r="R46" s="282"/>
      <c r="S46" s="379"/>
      <c r="T46" s="437"/>
      <c r="U46" s="358"/>
      <c r="V46" s="358"/>
      <c r="W46" s="286"/>
      <c r="X46" s="282"/>
      <c r="Y46" s="379"/>
      <c r="Z46" s="437"/>
      <c r="AA46" s="358"/>
      <c r="AB46" s="358"/>
      <c r="AC46" s="282"/>
      <c r="AD46" s="285"/>
      <c r="AE46" s="379"/>
      <c r="AF46" s="437"/>
      <c r="AG46" s="358"/>
      <c r="AH46" s="358"/>
      <c r="AI46" s="286"/>
      <c r="AJ46" s="269">
        <f>K46+Q46+W46+AC46+AI46</f>
        <v>0</v>
      </c>
    </row>
    <row r="47" spans="1:36" s="5" customFormat="1" ht="15" collapsed="1" thickBot="1" x14ac:dyDescent="0.35">
      <c r="A47" s="302" t="s">
        <v>115</v>
      </c>
      <c r="B47" s="303"/>
      <c r="C47" s="303"/>
      <c r="D47" s="303"/>
      <c r="E47" s="299"/>
      <c r="F47" s="295"/>
      <c r="G47" s="296"/>
      <c r="H47" s="297"/>
      <c r="I47" s="299"/>
      <c r="J47" s="299"/>
      <c r="K47" s="300">
        <f>SUM(K45:K46)</f>
        <v>0</v>
      </c>
      <c r="L47" s="299"/>
      <c r="M47" s="296"/>
      <c r="N47" s="297"/>
      <c r="O47" s="299"/>
      <c r="P47" s="299"/>
      <c r="Q47" s="300">
        <f>SUM(Q45:Q46)</f>
        <v>0</v>
      </c>
      <c r="R47" s="299"/>
      <c r="S47" s="296"/>
      <c r="T47" s="297"/>
      <c r="U47" s="299"/>
      <c r="V47" s="299"/>
      <c r="W47" s="300">
        <f>SUM(W45:W46)</f>
        <v>0</v>
      </c>
      <c r="X47" s="299"/>
      <c r="Y47" s="296"/>
      <c r="Z47" s="297"/>
      <c r="AA47" s="299"/>
      <c r="AB47" s="299"/>
      <c r="AC47" s="299">
        <f>SUM(AC45:AC46)</f>
        <v>0</v>
      </c>
      <c r="AD47" s="295"/>
      <c r="AE47" s="296"/>
      <c r="AF47" s="297"/>
      <c r="AG47" s="299"/>
      <c r="AH47" s="299"/>
      <c r="AI47" s="300">
        <f>SUM(AI45:AI46)</f>
        <v>0</v>
      </c>
      <c r="AJ47" s="287">
        <f>K47+Q47+W47+AC47+AI47</f>
        <v>0</v>
      </c>
    </row>
    <row r="48" spans="1:36" outlineLevel="1" x14ac:dyDescent="0.3">
      <c r="A48" s="371" t="s">
        <v>116</v>
      </c>
      <c r="B48" s="372"/>
      <c r="C48" s="372"/>
      <c r="D48" s="372"/>
      <c r="E48" s="365"/>
      <c r="F48" s="363"/>
      <c r="G48" s="364"/>
      <c r="H48" s="438"/>
      <c r="I48" s="365"/>
      <c r="J48" s="365"/>
      <c r="K48" s="3"/>
      <c r="L48" s="365"/>
      <c r="M48" s="364"/>
      <c r="N48" s="438"/>
      <c r="O48" s="365"/>
      <c r="P48" s="365"/>
      <c r="Q48" s="3"/>
      <c r="R48" s="2"/>
      <c r="S48" s="364"/>
      <c r="T48" s="438"/>
      <c r="U48" s="365"/>
      <c r="V48" s="365"/>
      <c r="W48" s="3"/>
      <c r="X48" s="2"/>
      <c r="Y48" s="364"/>
      <c r="Z48" s="438"/>
      <c r="AA48" s="365"/>
      <c r="AB48" s="365"/>
      <c r="AC48" s="2"/>
      <c r="AD48" s="74"/>
      <c r="AE48" s="364"/>
      <c r="AF48" s="438"/>
      <c r="AG48" s="365"/>
      <c r="AH48" s="365"/>
      <c r="AI48" s="3"/>
      <c r="AJ48" s="268"/>
    </row>
    <row r="49" spans="1:36" outlineLevel="1" x14ac:dyDescent="0.3">
      <c r="A49" s="340" t="s">
        <v>117</v>
      </c>
      <c r="B49" s="341"/>
      <c r="C49" s="341"/>
      <c r="D49" s="341"/>
      <c r="E49" s="324"/>
      <c r="F49" s="322"/>
      <c r="G49" s="323"/>
      <c r="H49" s="436"/>
      <c r="I49" s="324"/>
      <c r="J49" s="324"/>
      <c r="K49" s="286">
        <v>0</v>
      </c>
      <c r="L49" s="324"/>
      <c r="M49" s="323"/>
      <c r="N49" s="436"/>
      <c r="O49" s="324"/>
      <c r="P49" s="324"/>
      <c r="Q49" s="286">
        <v>0</v>
      </c>
      <c r="R49" s="282"/>
      <c r="S49" s="323"/>
      <c r="T49" s="436"/>
      <c r="U49" s="324"/>
      <c r="V49" s="324"/>
      <c r="W49" s="286"/>
      <c r="X49" s="282"/>
      <c r="Y49" s="323"/>
      <c r="Z49" s="436"/>
      <c r="AA49" s="324"/>
      <c r="AB49" s="324"/>
      <c r="AC49" s="282">
        <v>0</v>
      </c>
      <c r="AD49" s="285"/>
      <c r="AE49" s="323"/>
      <c r="AF49" s="436"/>
      <c r="AG49" s="324"/>
      <c r="AH49" s="324"/>
      <c r="AI49" s="286"/>
      <c r="AJ49" s="269">
        <f>K49+Q49+W49+AC49+AI49</f>
        <v>0</v>
      </c>
    </row>
    <row r="50" spans="1:36" outlineLevel="1" x14ac:dyDescent="0.3">
      <c r="A50" s="377" t="s">
        <v>122</v>
      </c>
      <c r="B50" s="378"/>
      <c r="C50" s="378"/>
      <c r="D50" s="378"/>
      <c r="E50" s="358"/>
      <c r="F50" s="357"/>
      <c r="G50" s="379"/>
      <c r="H50" s="437"/>
      <c r="I50" s="358"/>
      <c r="J50" s="358"/>
      <c r="K50" s="286"/>
      <c r="L50" s="358"/>
      <c r="M50" s="379"/>
      <c r="N50" s="437"/>
      <c r="O50" s="358"/>
      <c r="P50" s="358"/>
      <c r="Q50" s="286"/>
      <c r="R50" s="282"/>
      <c r="S50" s="379"/>
      <c r="T50" s="437"/>
      <c r="U50" s="358"/>
      <c r="V50" s="358"/>
      <c r="W50" s="286"/>
      <c r="X50" s="282"/>
      <c r="Y50" s="379"/>
      <c r="Z50" s="437"/>
      <c r="AA50" s="358"/>
      <c r="AB50" s="358"/>
      <c r="AC50" s="282"/>
      <c r="AD50" s="285"/>
      <c r="AE50" s="379"/>
      <c r="AF50" s="437"/>
      <c r="AG50" s="358"/>
      <c r="AH50" s="358"/>
      <c r="AI50" s="286"/>
      <c r="AJ50" s="269">
        <f>K50+Q50+W50+AC50+AI50</f>
        <v>0</v>
      </c>
    </row>
    <row r="51" spans="1:36" s="5" customFormat="1" ht="15" thickBot="1" x14ac:dyDescent="0.35">
      <c r="A51" s="302" t="s">
        <v>123</v>
      </c>
      <c r="B51" s="303"/>
      <c r="C51" s="303"/>
      <c r="D51" s="303"/>
      <c r="E51" s="299"/>
      <c r="F51" s="295"/>
      <c r="G51" s="296"/>
      <c r="H51" s="297"/>
      <c r="I51" s="299"/>
      <c r="J51" s="299"/>
      <c r="K51" s="300">
        <f>SUM(K49:K50)</f>
        <v>0</v>
      </c>
      <c r="L51" s="299"/>
      <c r="M51" s="296"/>
      <c r="N51" s="297"/>
      <c r="O51" s="299"/>
      <c r="P51" s="299"/>
      <c r="Q51" s="300">
        <f>SUM(Q49:Q50)</f>
        <v>0</v>
      </c>
      <c r="R51" s="299"/>
      <c r="S51" s="296"/>
      <c r="T51" s="297"/>
      <c r="U51" s="299"/>
      <c r="V51" s="299"/>
      <c r="W51" s="300">
        <f>SUM(W49:W50)</f>
        <v>0</v>
      </c>
      <c r="X51" s="299"/>
      <c r="Y51" s="296"/>
      <c r="Z51" s="297"/>
      <c r="AA51" s="299"/>
      <c r="AB51" s="299"/>
      <c r="AC51" s="299">
        <f>SUM(AC49:AC50)</f>
        <v>0</v>
      </c>
      <c r="AD51" s="295"/>
      <c r="AE51" s="296"/>
      <c r="AF51" s="297"/>
      <c r="AG51" s="299"/>
      <c r="AH51" s="299"/>
      <c r="AI51" s="300">
        <f>SUM(AI49:AI50)</f>
        <v>0</v>
      </c>
      <c r="AJ51" s="287">
        <f>K51+Q51+W51+AC51+AI51</f>
        <v>0</v>
      </c>
    </row>
    <row r="52" spans="1:36" hidden="1" outlineLevel="1" x14ac:dyDescent="0.3">
      <c r="A52" s="371" t="s">
        <v>124</v>
      </c>
      <c r="B52" s="372"/>
      <c r="C52" s="372"/>
      <c r="D52" s="372"/>
      <c r="E52" s="365"/>
      <c r="F52" s="363"/>
      <c r="G52" s="364"/>
      <c r="H52" s="438"/>
      <c r="I52" s="365"/>
      <c r="J52" s="365"/>
      <c r="K52" s="3"/>
      <c r="L52" s="365"/>
      <c r="M52" s="364"/>
      <c r="N52" s="438"/>
      <c r="O52" s="365"/>
      <c r="P52" s="365"/>
      <c r="Q52" s="3"/>
      <c r="R52" s="2"/>
      <c r="S52" s="364"/>
      <c r="T52" s="438"/>
      <c r="U52" s="365"/>
      <c r="V52" s="365"/>
      <c r="W52" s="3"/>
      <c r="X52" s="2"/>
      <c r="Y52" s="364"/>
      <c r="Z52" s="438"/>
      <c r="AA52" s="365"/>
      <c r="AB52" s="365"/>
      <c r="AC52" s="2"/>
      <c r="AD52" s="74"/>
      <c r="AE52" s="364"/>
      <c r="AF52" s="438"/>
      <c r="AG52" s="365"/>
      <c r="AH52" s="365"/>
      <c r="AI52" s="3"/>
      <c r="AJ52" s="268"/>
    </row>
    <row r="53" spans="1:36" hidden="1" outlineLevel="1" x14ac:dyDescent="0.3">
      <c r="A53" s="340" t="s">
        <v>218</v>
      </c>
      <c r="B53" s="341"/>
      <c r="C53" s="341"/>
      <c r="D53" s="341"/>
      <c r="E53" s="324"/>
      <c r="F53" s="322"/>
      <c r="G53" s="323"/>
      <c r="H53" s="436"/>
      <c r="I53" s="324"/>
      <c r="J53" s="324"/>
      <c r="K53" s="286"/>
      <c r="L53" s="324"/>
      <c r="M53" s="323"/>
      <c r="N53" s="436"/>
      <c r="O53" s="324"/>
      <c r="P53" s="324"/>
      <c r="Q53" s="286"/>
      <c r="R53" s="282"/>
      <c r="S53" s="323"/>
      <c r="T53" s="436"/>
      <c r="U53" s="324"/>
      <c r="V53" s="324"/>
      <c r="W53" s="286"/>
      <c r="X53" s="282"/>
      <c r="Y53" s="323"/>
      <c r="Z53" s="436"/>
      <c r="AA53" s="324"/>
      <c r="AB53" s="324"/>
      <c r="AC53" s="282"/>
      <c r="AD53" s="285"/>
      <c r="AE53" s="323"/>
      <c r="AF53" s="436"/>
      <c r="AG53" s="324"/>
      <c r="AH53" s="324"/>
      <c r="AI53" s="286"/>
      <c r="AJ53" s="269">
        <f t="shared" ref="AJ53:AJ59" si="41">K53+Q53+W53+AC53+AI53</f>
        <v>0</v>
      </c>
    </row>
    <row r="54" spans="1:36" hidden="1" outlineLevel="1" x14ac:dyDescent="0.3">
      <c r="A54" s="340" t="s">
        <v>219</v>
      </c>
      <c r="B54" s="341"/>
      <c r="C54" s="341"/>
      <c r="D54" s="341"/>
      <c r="E54" s="324"/>
      <c r="F54" s="322"/>
      <c r="G54" s="323"/>
      <c r="H54" s="436"/>
      <c r="I54" s="324"/>
      <c r="J54" s="324"/>
      <c r="K54" s="286"/>
      <c r="L54" s="324"/>
      <c r="M54" s="323"/>
      <c r="N54" s="436"/>
      <c r="O54" s="324"/>
      <c r="P54" s="324"/>
      <c r="Q54" s="286"/>
      <c r="R54" s="282"/>
      <c r="S54" s="323"/>
      <c r="T54" s="436"/>
      <c r="U54" s="324"/>
      <c r="V54" s="324"/>
      <c r="W54" s="286"/>
      <c r="X54" s="282"/>
      <c r="Y54" s="323"/>
      <c r="Z54" s="436"/>
      <c r="AA54" s="324"/>
      <c r="AB54" s="324"/>
      <c r="AC54" s="282"/>
      <c r="AD54" s="285"/>
      <c r="AE54" s="323"/>
      <c r="AF54" s="436"/>
      <c r="AG54" s="324"/>
      <c r="AH54" s="324"/>
      <c r="AI54" s="286"/>
      <c r="AJ54" s="269">
        <f t="shared" si="41"/>
        <v>0</v>
      </c>
    </row>
    <row r="55" spans="1:36" hidden="1" outlineLevel="1" x14ac:dyDescent="0.3">
      <c r="A55" s="340" t="s">
        <v>220</v>
      </c>
      <c r="B55" s="341"/>
      <c r="C55" s="341"/>
      <c r="D55" s="341"/>
      <c r="E55" s="324"/>
      <c r="F55" s="322"/>
      <c r="G55" s="323"/>
      <c r="H55" s="436"/>
      <c r="I55" s="324"/>
      <c r="J55" s="324"/>
      <c r="K55" s="286"/>
      <c r="L55" s="324"/>
      <c r="M55" s="323"/>
      <c r="N55" s="436"/>
      <c r="O55" s="324"/>
      <c r="P55" s="324"/>
      <c r="Q55" s="286"/>
      <c r="R55" s="282"/>
      <c r="S55" s="323"/>
      <c r="T55" s="436"/>
      <c r="U55" s="324"/>
      <c r="V55" s="324"/>
      <c r="W55" s="286"/>
      <c r="X55" s="282"/>
      <c r="Y55" s="323"/>
      <c r="Z55" s="436"/>
      <c r="AA55" s="324"/>
      <c r="AB55" s="324"/>
      <c r="AC55" s="282"/>
      <c r="AD55" s="285"/>
      <c r="AE55" s="323"/>
      <c r="AF55" s="436"/>
      <c r="AG55" s="324"/>
      <c r="AH55" s="324"/>
      <c r="AI55" s="286"/>
      <c r="AJ55" s="269">
        <f t="shared" si="41"/>
        <v>0</v>
      </c>
    </row>
    <row r="56" spans="1:36" hidden="1" outlineLevel="1" x14ac:dyDescent="0.3">
      <c r="A56" s="340" t="s">
        <v>221</v>
      </c>
      <c r="B56" s="341"/>
      <c r="C56" s="341"/>
      <c r="D56" s="341"/>
      <c r="E56" s="324"/>
      <c r="F56" s="322"/>
      <c r="G56" s="323"/>
      <c r="H56" s="436"/>
      <c r="I56" s="324"/>
      <c r="J56" s="324"/>
      <c r="K56" s="286"/>
      <c r="L56" s="324"/>
      <c r="M56" s="323"/>
      <c r="N56" s="436"/>
      <c r="O56" s="324"/>
      <c r="P56" s="324"/>
      <c r="Q56" s="286"/>
      <c r="R56" s="282"/>
      <c r="S56" s="323"/>
      <c r="T56" s="436"/>
      <c r="U56" s="324"/>
      <c r="V56" s="324"/>
      <c r="W56" s="286"/>
      <c r="X56" s="282"/>
      <c r="Y56" s="323"/>
      <c r="Z56" s="436"/>
      <c r="AA56" s="324"/>
      <c r="AB56" s="324"/>
      <c r="AC56" s="282"/>
      <c r="AD56" s="285"/>
      <c r="AE56" s="323"/>
      <c r="AF56" s="436"/>
      <c r="AG56" s="324"/>
      <c r="AH56" s="324"/>
      <c r="AI56" s="286"/>
      <c r="AJ56" s="269">
        <f t="shared" si="41"/>
        <v>0</v>
      </c>
    </row>
    <row r="57" spans="1:36" hidden="1" outlineLevel="1" x14ac:dyDescent="0.3">
      <c r="A57" s="340" t="s">
        <v>222</v>
      </c>
      <c r="B57" s="341"/>
      <c r="C57" s="341"/>
      <c r="D57" s="341"/>
      <c r="E57" s="324"/>
      <c r="F57" s="322"/>
      <c r="G57" s="323"/>
      <c r="H57" s="436"/>
      <c r="I57" s="324"/>
      <c r="J57" s="324"/>
      <c r="K57" s="286"/>
      <c r="L57" s="324"/>
      <c r="M57" s="323"/>
      <c r="N57" s="436"/>
      <c r="O57" s="324"/>
      <c r="P57" s="324"/>
      <c r="Q57" s="286"/>
      <c r="R57" s="282"/>
      <c r="S57" s="323"/>
      <c r="T57" s="436"/>
      <c r="U57" s="324"/>
      <c r="V57" s="324"/>
      <c r="W57" s="286"/>
      <c r="X57" s="282"/>
      <c r="Y57" s="323"/>
      <c r="Z57" s="436"/>
      <c r="AA57" s="324"/>
      <c r="AB57" s="324"/>
      <c r="AC57" s="282"/>
      <c r="AD57" s="285"/>
      <c r="AE57" s="323"/>
      <c r="AF57" s="436"/>
      <c r="AG57" s="324"/>
      <c r="AH57" s="324"/>
      <c r="AI57" s="286"/>
      <c r="AJ57" s="269">
        <f t="shared" si="41"/>
        <v>0</v>
      </c>
    </row>
    <row r="58" spans="1:36" hidden="1" outlineLevel="1" x14ac:dyDescent="0.3">
      <c r="A58" s="377" t="s">
        <v>223</v>
      </c>
      <c r="B58" s="378"/>
      <c r="C58" s="378"/>
      <c r="D58" s="378"/>
      <c r="E58" s="358"/>
      <c r="F58" s="357"/>
      <c r="G58" s="379"/>
      <c r="H58" s="437"/>
      <c r="I58" s="358"/>
      <c r="J58" s="358"/>
      <c r="K58" s="286"/>
      <c r="L58" s="358"/>
      <c r="M58" s="379"/>
      <c r="N58" s="437"/>
      <c r="O58" s="358"/>
      <c r="P58" s="358"/>
      <c r="Q58" s="286"/>
      <c r="R58" s="282"/>
      <c r="S58" s="379"/>
      <c r="T58" s="437"/>
      <c r="U58" s="358"/>
      <c r="V58" s="358"/>
      <c r="W58" s="286"/>
      <c r="X58" s="282"/>
      <c r="Y58" s="379"/>
      <c r="Z58" s="437"/>
      <c r="AA58" s="358"/>
      <c r="AB58" s="358"/>
      <c r="AC58" s="282"/>
      <c r="AD58" s="285"/>
      <c r="AE58" s="379"/>
      <c r="AF58" s="437"/>
      <c r="AG58" s="358"/>
      <c r="AH58" s="358"/>
      <c r="AI58" s="286"/>
      <c r="AJ58" s="269">
        <f t="shared" si="41"/>
        <v>0</v>
      </c>
    </row>
    <row r="59" spans="1:36" s="5" customFormat="1" ht="15" collapsed="1" thickBot="1" x14ac:dyDescent="0.35">
      <c r="A59" s="302" t="s">
        <v>144</v>
      </c>
      <c r="B59" s="303"/>
      <c r="C59" s="303"/>
      <c r="D59" s="303"/>
      <c r="E59" s="299"/>
      <c r="F59" s="295"/>
      <c r="G59" s="296"/>
      <c r="H59" s="297"/>
      <c r="I59" s="299"/>
      <c r="J59" s="299"/>
      <c r="K59" s="300">
        <f>SUM(K53:K58)</f>
        <v>0</v>
      </c>
      <c r="L59" s="299"/>
      <c r="M59" s="296"/>
      <c r="N59" s="297"/>
      <c r="O59" s="299"/>
      <c r="P59" s="299"/>
      <c r="Q59" s="300">
        <f>SUM(Q53:Q58)</f>
        <v>0</v>
      </c>
      <c r="R59" s="299"/>
      <c r="S59" s="296"/>
      <c r="T59" s="297"/>
      <c r="U59" s="299"/>
      <c r="V59" s="299"/>
      <c r="W59" s="300">
        <f>SUM(W53:W58)</f>
        <v>0</v>
      </c>
      <c r="X59" s="299"/>
      <c r="Y59" s="296"/>
      <c r="Z59" s="297"/>
      <c r="AA59" s="299"/>
      <c r="AB59" s="299"/>
      <c r="AC59" s="299">
        <f>SUM(AC53:AC58)</f>
        <v>0</v>
      </c>
      <c r="AD59" s="295"/>
      <c r="AE59" s="296"/>
      <c r="AF59" s="297"/>
      <c r="AG59" s="299"/>
      <c r="AH59" s="299"/>
      <c r="AI59" s="300">
        <f>SUM(AI53:AI58)</f>
        <v>0</v>
      </c>
      <c r="AJ59" s="287">
        <f t="shared" si="41"/>
        <v>0</v>
      </c>
    </row>
    <row r="60" spans="1:36" outlineLevel="1" x14ac:dyDescent="0.3">
      <c r="A60" s="411" t="s">
        <v>145</v>
      </c>
      <c r="B60" s="412"/>
      <c r="C60" s="412"/>
      <c r="D60" s="412"/>
      <c r="E60" s="3"/>
      <c r="F60" s="74"/>
      <c r="H60" s="22"/>
      <c r="I60" s="2"/>
      <c r="J60" s="2"/>
      <c r="K60" s="3"/>
      <c r="L60" s="74"/>
      <c r="O60" s="2"/>
      <c r="P60" s="2"/>
      <c r="Q60" s="3"/>
      <c r="R60" s="2"/>
      <c r="T60" s="22"/>
      <c r="U60" s="2"/>
      <c r="V60" s="2"/>
      <c r="W60" s="3"/>
      <c r="X60" s="2"/>
      <c r="Z60" s="22"/>
      <c r="AA60" s="2"/>
      <c r="AB60" s="2"/>
      <c r="AC60" s="2"/>
      <c r="AD60" s="74"/>
      <c r="AF60" s="22"/>
      <c r="AG60" s="2"/>
      <c r="AH60" s="2"/>
      <c r="AI60" s="3"/>
      <c r="AJ60" s="268"/>
    </row>
    <row r="61" spans="1:36" outlineLevel="1" x14ac:dyDescent="0.3">
      <c r="A61" s="409" t="s">
        <v>146</v>
      </c>
      <c r="B61" s="410"/>
      <c r="C61" s="410"/>
      <c r="D61" s="410"/>
      <c r="E61" s="365"/>
      <c r="F61" s="363"/>
      <c r="G61" s="364"/>
      <c r="H61" s="438"/>
      <c r="I61" s="365"/>
      <c r="J61" s="365"/>
      <c r="K61" s="3"/>
      <c r="L61" s="365"/>
      <c r="M61" s="364"/>
      <c r="N61" s="438"/>
      <c r="O61" s="365"/>
      <c r="P61" s="365"/>
      <c r="Q61" s="3"/>
      <c r="R61" s="2"/>
      <c r="S61" s="364"/>
      <c r="T61" s="438"/>
      <c r="U61" s="365"/>
      <c r="V61" s="365"/>
      <c r="W61" s="3"/>
      <c r="X61" s="2"/>
      <c r="Y61" s="364"/>
      <c r="Z61" s="438"/>
      <c r="AA61" s="365"/>
      <c r="AB61" s="365"/>
      <c r="AC61" s="2"/>
      <c r="AD61" s="74"/>
      <c r="AE61" s="364"/>
      <c r="AF61" s="438"/>
      <c r="AG61" s="365"/>
      <c r="AH61" s="365"/>
      <c r="AI61" s="3"/>
      <c r="AJ61" s="269">
        <f t="shared" ref="AJ61:AJ69" si="42">K61+Q61+W61+AC61+AI61</f>
        <v>0</v>
      </c>
    </row>
    <row r="62" spans="1:36" outlineLevel="1" x14ac:dyDescent="0.3">
      <c r="A62" s="340" t="s">
        <v>224</v>
      </c>
      <c r="B62" s="341"/>
      <c r="C62" s="341"/>
      <c r="D62" s="341"/>
      <c r="E62" s="324"/>
      <c r="F62" s="322"/>
      <c r="G62" s="323"/>
      <c r="H62" s="436"/>
      <c r="I62" s="324"/>
      <c r="J62" s="324"/>
      <c r="K62" s="286"/>
      <c r="L62" s="324"/>
      <c r="M62" s="323"/>
      <c r="N62" s="436"/>
      <c r="O62" s="324"/>
      <c r="P62" s="324"/>
      <c r="Q62" s="286">
        <v>0</v>
      </c>
      <c r="R62" s="282"/>
      <c r="S62" s="323"/>
      <c r="T62" s="436"/>
      <c r="U62" s="324"/>
      <c r="V62" s="324"/>
      <c r="W62" s="286">
        <v>0</v>
      </c>
      <c r="X62" s="282"/>
      <c r="Y62" s="323"/>
      <c r="Z62" s="436"/>
      <c r="AA62" s="324"/>
      <c r="AB62" s="324"/>
      <c r="AC62" s="282">
        <v>0</v>
      </c>
      <c r="AD62" s="285"/>
      <c r="AE62" s="323"/>
      <c r="AF62" s="436"/>
      <c r="AG62" s="324"/>
      <c r="AH62" s="324"/>
      <c r="AI62" s="286"/>
      <c r="AJ62" s="269">
        <f t="shared" si="42"/>
        <v>0</v>
      </c>
    </row>
    <row r="63" spans="1:36" outlineLevel="1" x14ac:dyDescent="0.3">
      <c r="A63" s="343"/>
      <c r="B63" s="342"/>
      <c r="C63" s="342"/>
      <c r="D63" s="342"/>
      <c r="E63" s="324"/>
      <c r="F63" s="322"/>
      <c r="G63" s="323"/>
      <c r="H63" s="436"/>
      <c r="I63" s="324"/>
      <c r="J63" s="324"/>
      <c r="K63" s="286"/>
      <c r="L63" s="324"/>
      <c r="M63" s="323"/>
      <c r="N63" s="436"/>
      <c r="O63" s="324"/>
      <c r="P63" s="324"/>
      <c r="Q63" s="286"/>
      <c r="R63" s="282"/>
      <c r="S63" s="323"/>
      <c r="T63" s="436"/>
      <c r="U63" s="324"/>
      <c r="V63" s="324"/>
      <c r="W63" s="286"/>
      <c r="X63" s="282"/>
      <c r="Y63" s="323"/>
      <c r="Z63" s="436"/>
      <c r="AA63" s="324"/>
      <c r="AB63" s="324"/>
      <c r="AC63" s="282"/>
      <c r="AD63" s="285"/>
      <c r="AE63" s="323"/>
      <c r="AF63" s="436"/>
      <c r="AG63" s="324"/>
      <c r="AH63" s="324"/>
      <c r="AI63" s="286"/>
      <c r="AJ63" s="269">
        <f t="shared" si="42"/>
        <v>0</v>
      </c>
    </row>
    <row r="64" spans="1:36" outlineLevel="1" x14ac:dyDescent="0.3">
      <c r="A64" s="343"/>
      <c r="B64" s="342"/>
      <c r="C64" s="342"/>
      <c r="D64" s="342"/>
      <c r="E64" s="324"/>
      <c r="F64" s="322"/>
      <c r="G64" s="323"/>
      <c r="H64" s="436"/>
      <c r="I64" s="324"/>
      <c r="J64" s="324"/>
      <c r="K64" s="286"/>
      <c r="L64" s="324"/>
      <c r="M64" s="323"/>
      <c r="N64" s="436"/>
      <c r="O64" s="324"/>
      <c r="P64" s="324"/>
      <c r="Q64" s="286"/>
      <c r="R64" s="282"/>
      <c r="S64" s="323"/>
      <c r="T64" s="436"/>
      <c r="U64" s="324"/>
      <c r="V64" s="324"/>
      <c r="W64" s="286"/>
      <c r="X64" s="282"/>
      <c r="Y64" s="323"/>
      <c r="Z64" s="436"/>
      <c r="AA64" s="324"/>
      <c r="AB64" s="324"/>
      <c r="AC64" s="282"/>
      <c r="AD64" s="285"/>
      <c r="AE64" s="323"/>
      <c r="AF64" s="436"/>
      <c r="AG64" s="324"/>
      <c r="AH64" s="324"/>
      <c r="AI64" s="286"/>
      <c r="AJ64" s="269">
        <f t="shared" si="42"/>
        <v>0</v>
      </c>
    </row>
    <row r="65" spans="1:36" outlineLevel="1" x14ac:dyDescent="0.3">
      <c r="A65" s="417"/>
      <c r="B65" s="418"/>
      <c r="C65" s="418"/>
      <c r="D65" s="418"/>
      <c r="E65" s="358"/>
      <c r="F65" s="357"/>
      <c r="G65" s="379"/>
      <c r="H65" s="437"/>
      <c r="I65" s="358"/>
      <c r="J65" s="358"/>
      <c r="K65" s="286"/>
      <c r="L65" s="358"/>
      <c r="M65" s="379"/>
      <c r="N65" s="437"/>
      <c r="O65" s="358"/>
      <c r="P65" s="358"/>
      <c r="Q65" s="286"/>
      <c r="R65" s="282"/>
      <c r="S65" s="379"/>
      <c r="T65" s="437"/>
      <c r="U65" s="358"/>
      <c r="V65" s="358"/>
      <c r="W65" s="286"/>
      <c r="X65" s="282"/>
      <c r="Y65" s="379"/>
      <c r="Z65" s="437"/>
      <c r="AA65" s="358"/>
      <c r="AB65" s="358"/>
      <c r="AC65" s="282"/>
      <c r="AD65" s="285"/>
      <c r="AE65" s="379"/>
      <c r="AF65" s="437"/>
      <c r="AG65" s="358"/>
      <c r="AH65" s="358"/>
      <c r="AI65" s="286"/>
      <c r="AJ65" s="269">
        <f t="shared" si="42"/>
        <v>0</v>
      </c>
    </row>
    <row r="66" spans="1:36" s="5" customFormat="1" outlineLevel="1" x14ac:dyDescent="0.3">
      <c r="A66" s="304" t="s">
        <v>181</v>
      </c>
      <c r="B66" s="305"/>
      <c r="C66" s="305"/>
      <c r="D66" s="305"/>
      <c r="E66" s="309"/>
      <c r="F66" s="306"/>
      <c r="G66" s="307"/>
      <c r="H66" s="308"/>
      <c r="I66" s="309"/>
      <c r="J66" s="309"/>
      <c r="K66" s="310">
        <f>SUM(K62:K65)</f>
        <v>0</v>
      </c>
      <c r="L66" s="309"/>
      <c r="M66" s="307"/>
      <c r="N66" s="308"/>
      <c r="O66" s="309"/>
      <c r="P66" s="309"/>
      <c r="Q66" s="310">
        <f>SUM(Q62:Q65)</f>
        <v>0</v>
      </c>
      <c r="R66" s="309"/>
      <c r="S66" s="307"/>
      <c r="T66" s="308"/>
      <c r="U66" s="309"/>
      <c r="V66" s="309"/>
      <c r="W66" s="310">
        <f>SUM(W62:W65)</f>
        <v>0</v>
      </c>
      <c r="X66" s="309"/>
      <c r="Y66" s="307"/>
      <c r="Z66" s="308"/>
      <c r="AA66" s="309"/>
      <c r="AB66" s="309"/>
      <c r="AC66" s="309">
        <f>SUM(AC62:AC65)</f>
        <v>0</v>
      </c>
      <c r="AD66" s="306"/>
      <c r="AE66" s="307"/>
      <c r="AF66" s="308"/>
      <c r="AG66" s="309"/>
      <c r="AH66" s="309"/>
      <c r="AI66" s="310">
        <f>SUM(AI62:AI65)</f>
        <v>0</v>
      </c>
      <c r="AJ66" s="486">
        <f t="shared" si="42"/>
        <v>0</v>
      </c>
    </row>
    <row r="67" spans="1:36" outlineLevel="1" x14ac:dyDescent="0.3">
      <c r="A67" s="409" t="s">
        <v>182</v>
      </c>
      <c r="B67" s="410"/>
      <c r="C67" s="410"/>
      <c r="D67" s="410"/>
      <c r="E67" s="365"/>
      <c r="F67" s="363"/>
      <c r="G67" s="364"/>
      <c r="H67" s="438"/>
      <c r="I67" s="365"/>
      <c r="J67" s="365"/>
      <c r="K67" s="286"/>
      <c r="L67" s="365"/>
      <c r="M67" s="364"/>
      <c r="N67" s="438"/>
      <c r="O67" s="365"/>
      <c r="P67" s="365"/>
      <c r="Q67" s="286"/>
      <c r="R67" s="282"/>
      <c r="S67" s="364"/>
      <c r="T67" s="438"/>
      <c r="U67" s="365"/>
      <c r="V67" s="365"/>
      <c r="W67" s="286"/>
      <c r="X67" s="282"/>
      <c r="Y67" s="364"/>
      <c r="Z67" s="438"/>
      <c r="AA67" s="365"/>
      <c r="AB67" s="365"/>
      <c r="AC67" s="282"/>
      <c r="AD67" s="285"/>
      <c r="AE67" s="364"/>
      <c r="AF67" s="438"/>
      <c r="AG67" s="365"/>
      <c r="AH67" s="365"/>
      <c r="AI67" s="286"/>
      <c r="AJ67" s="269">
        <f t="shared" si="42"/>
        <v>0</v>
      </c>
    </row>
    <row r="68" spans="1:36" outlineLevel="1" x14ac:dyDescent="0.3">
      <c r="A68" s="340" t="s">
        <v>183</v>
      </c>
      <c r="B68" s="341"/>
      <c r="C68" s="341"/>
      <c r="D68" s="341"/>
      <c r="E68" s="324"/>
      <c r="F68" s="322"/>
      <c r="G68" s="323"/>
      <c r="H68" s="436"/>
      <c r="I68" s="324"/>
      <c r="J68" s="324"/>
      <c r="K68" s="286"/>
      <c r="L68" s="324"/>
      <c r="M68" s="323"/>
      <c r="N68" s="436"/>
      <c r="O68" s="324"/>
      <c r="P68" s="324"/>
      <c r="Q68" s="286"/>
      <c r="R68" s="282"/>
      <c r="S68" s="323"/>
      <c r="T68" s="436"/>
      <c r="U68" s="324"/>
      <c r="V68" s="324"/>
      <c r="W68" s="286"/>
      <c r="X68" s="282"/>
      <c r="Y68" s="323"/>
      <c r="Z68" s="436"/>
      <c r="AA68" s="324"/>
      <c r="AB68" s="324"/>
      <c r="AC68" s="282"/>
      <c r="AD68" s="285"/>
      <c r="AE68" s="323"/>
      <c r="AF68" s="436"/>
      <c r="AG68" s="324"/>
      <c r="AH68" s="324"/>
      <c r="AI68" s="286"/>
      <c r="AJ68" s="269">
        <f t="shared" si="42"/>
        <v>0</v>
      </c>
    </row>
    <row r="69" spans="1:36" outlineLevel="1" x14ac:dyDescent="0.3">
      <c r="A69" s="340" t="s">
        <v>184</v>
      </c>
      <c r="B69" s="341"/>
      <c r="C69" s="341"/>
      <c r="D69" s="341"/>
      <c r="E69" s="324"/>
      <c r="F69" s="322"/>
      <c r="G69" s="323"/>
      <c r="H69" s="436"/>
      <c r="I69" s="324"/>
      <c r="J69" s="324"/>
      <c r="K69" s="286"/>
      <c r="L69" s="324"/>
      <c r="M69" s="323"/>
      <c r="N69" s="436"/>
      <c r="O69" s="324"/>
      <c r="P69" s="324"/>
      <c r="Q69" s="286"/>
      <c r="R69" s="282"/>
      <c r="S69" s="323"/>
      <c r="T69" s="436"/>
      <c r="U69" s="324"/>
      <c r="V69" s="324"/>
      <c r="W69" s="286"/>
      <c r="X69" s="282"/>
      <c r="Y69" s="323"/>
      <c r="Z69" s="436"/>
      <c r="AA69" s="324"/>
      <c r="AB69" s="324"/>
      <c r="AC69" s="282"/>
      <c r="AD69" s="285"/>
      <c r="AE69" s="323"/>
      <c r="AF69" s="436"/>
      <c r="AG69" s="324"/>
      <c r="AH69" s="324"/>
      <c r="AI69" s="286"/>
      <c r="AJ69" s="269">
        <f t="shared" si="42"/>
        <v>0</v>
      </c>
    </row>
    <row r="70" spans="1:36" outlineLevel="1" x14ac:dyDescent="0.3">
      <c r="A70" s="340" t="s">
        <v>231</v>
      </c>
      <c r="B70" s="341"/>
      <c r="C70" s="341"/>
      <c r="D70" s="341"/>
      <c r="E70" s="324"/>
      <c r="F70" s="322"/>
      <c r="G70" s="323"/>
      <c r="H70" s="436"/>
      <c r="I70" s="324"/>
      <c r="J70" s="324"/>
      <c r="K70" s="3"/>
      <c r="L70" s="324"/>
      <c r="M70" s="323"/>
      <c r="N70" s="436"/>
      <c r="O70" s="324"/>
      <c r="P70" s="324"/>
      <c r="Q70" s="3"/>
      <c r="R70" s="2"/>
      <c r="S70" s="323"/>
      <c r="T70" s="436"/>
      <c r="U70" s="324"/>
      <c r="V70" s="324"/>
      <c r="W70" s="3"/>
      <c r="X70" s="2"/>
      <c r="Y70" s="323"/>
      <c r="Z70" s="436"/>
      <c r="AA70" s="324"/>
      <c r="AB70" s="324"/>
      <c r="AC70" s="2"/>
      <c r="AD70" s="74"/>
      <c r="AE70" s="323"/>
      <c r="AF70" s="436"/>
      <c r="AG70" s="324"/>
      <c r="AH70" s="324"/>
      <c r="AI70" s="3"/>
      <c r="AJ70" s="269"/>
    </row>
    <row r="71" spans="1:36" outlineLevel="1" x14ac:dyDescent="0.3">
      <c r="A71" s="340" t="s">
        <v>188</v>
      </c>
      <c r="B71" s="341"/>
      <c r="C71" s="341"/>
      <c r="D71" s="341"/>
      <c r="E71" s="324"/>
      <c r="F71" s="322"/>
      <c r="G71" s="323"/>
      <c r="H71" s="436"/>
      <c r="I71" s="324"/>
      <c r="J71" s="324"/>
      <c r="K71" s="286"/>
      <c r="L71" s="324"/>
      <c r="M71" s="323"/>
      <c r="N71" s="436"/>
      <c r="O71" s="324"/>
      <c r="P71" s="324"/>
      <c r="Q71" s="286"/>
      <c r="R71" s="282"/>
      <c r="S71" s="323"/>
      <c r="T71" s="436"/>
      <c r="U71" s="324"/>
      <c r="V71" s="324"/>
      <c r="W71" s="286"/>
      <c r="X71" s="282"/>
      <c r="Y71" s="323"/>
      <c r="Z71" s="436"/>
      <c r="AA71" s="324"/>
      <c r="AB71" s="324"/>
      <c r="AC71" s="282"/>
      <c r="AD71" s="285"/>
      <c r="AE71" s="323"/>
      <c r="AF71" s="436"/>
      <c r="AG71" s="324"/>
      <c r="AH71" s="324"/>
      <c r="AI71" s="286"/>
      <c r="AJ71" s="269">
        <f>K71+Q71+W71+AC71+AI71</f>
        <v>0</v>
      </c>
    </row>
    <row r="72" spans="1:36" outlineLevel="1" x14ac:dyDescent="0.3">
      <c r="A72" s="377" t="s">
        <v>189</v>
      </c>
      <c r="B72" s="378"/>
      <c r="C72" s="378"/>
      <c r="D72" s="378"/>
      <c r="E72" s="358"/>
      <c r="F72" s="357"/>
      <c r="G72" s="379"/>
      <c r="H72" s="437"/>
      <c r="I72" s="358"/>
      <c r="J72" s="358"/>
      <c r="K72" s="286"/>
      <c r="L72" s="358"/>
      <c r="M72" s="379"/>
      <c r="N72" s="437"/>
      <c r="O72" s="358"/>
      <c r="P72" s="358"/>
      <c r="Q72" s="286"/>
      <c r="R72" s="282"/>
      <c r="S72" s="379"/>
      <c r="T72" s="437"/>
      <c r="U72" s="358"/>
      <c r="V72" s="358"/>
      <c r="W72" s="286"/>
      <c r="X72" s="282"/>
      <c r="Y72" s="379"/>
      <c r="Z72" s="437"/>
      <c r="AA72" s="358"/>
      <c r="AB72" s="358"/>
      <c r="AC72" s="282"/>
      <c r="AD72" s="285"/>
      <c r="AE72" s="379"/>
      <c r="AF72" s="437"/>
      <c r="AG72" s="358"/>
      <c r="AH72" s="358"/>
      <c r="AI72" s="286"/>
      <c r="AJ72" s="269">
        <f>K72+Q72+W72+AC72+AI72</f>
        <v>0</v>
      </c>
    </row>
    <row r="73" spans="1:36" outlineLevel="1" x14ac:dyDescent="0.3">
      <c r="A73" s="311" t="s">
        <v>190</v>
      </c>
      <c r="B73" s="312"/>
      <c r="C73" s="312"/>
      <c r="D73" s="312"/>
      <c r="E73" s="485"/>
      <c r="F73" s="306"/>
      <c r="G73" s="307"/>
      <c r="H73" s="308"/>
      <c r="I73" s="309"/>
      <c r="J73" s="309"/>
      <c r="K73" s="310">
        <f>SUM(K71:K72)</f>
        <v>0</v>
      </c>
      <c r="L73" s="309"/>
      <c r="M73" s="307"/>
      <c r="N73" s="308"/>
      <c r="O73" s="309"/>
      <c r="P73" s="309"/>
      <c r="Q73" s="310">
        <f>SUM(Q71:Q72)</f>
        <v>0</v>
      </c>
      <c r="R73" s="309"/>
      <c r="S73" s="307"/>
      <c r="T73" s="308"/>
      <c r="U73" s="309"/>
      <c r="V73" s="309"/>
      <c r="W73" s="310">
        <f>SUM(W71:W72)</f>
        <v>0</v>
      </c>
      <c r="X73" s="309"/>
      <c r="Y73" s="307"/>
      <c r="Z73" s="308"/>
      <c r="AA73" s="309"/>
      <c r="AB73" s="309"/>
      <c r="AC73" s="309">
        <f>SUM(AC71:AC72)</f>
        <v>0</v>
      </c>
      <c r="AD73" s="489"/>
      <c r="AE73" s="307"/>
      <c r="AF73" s="308"/>
      <c r="AG73" s="309"/>
      <c r="AH73" s="309"/>
      <c r="AI73" s="309">
        <f>SUM(AI71:AI72)</f>
        <v>0</v>
      </c>
      <c r="AJ73" s="486">
        <f>K73+Q73+W73+AC73+AI73</f>
        <v>0</v>
      </c>
    </row>
    <row r="74" spans="1:36" outlineLevel="1" x14ac:dyDescent="0.3">
      <c r="A74" s="409" t="s">
        <v>191</v>
      </c>
      <c r="B74" s="410"/>
      <c r="C74" s="410"/>
      <c r="D74" s="410"/>
      <c r="E74" s="365"/>
      <c r="F74" s="363"/>
      <c r="G74" s="364"/>
      <c r="H74" s="438"/>
      <c r="I74" s="365"/>
      <c r="J74" s="365"/>
      <c r="K74" s="286"/>
      <c r="L74" s="365"/>
      <c r="M74" s="364"/>
      <c r="N74" s="438"/>
      <c r="O74" s="365"/>
      <c r="P74" s="365"/>
      <c r="Q74" s="286"/>
      <c r="R74" s="282"/>
      <c r="S74" s="364"/>
      <c r="T74" s="438"/>
      <c r="U74" s="365"/>
      <c r="V74" s="365"/>
      <c r="W74" s="286"/>
      <c r="X74" s="282"/>
      <c r="Y74" s="364"/>
      <c r="Z74" s="438"/>
      <c r="AA74" s="365"/>
      <c r="AB74" s="365"/>
      <c r="AC74" s="282"/>
      <c r="AD74" s="285"/>
      <c r="AE74" s="364"/>
      <c r="AF74" s="438"/>
      <c r="AG74" s="365"/>
      <c r="AH74" s="365"/>
      <c r="AI74" s="286"/>
      <c r="AJ74" s="269">
        <f>K74+Q74+W74+AC74+AI74</f>
        <v>0</v>
      </c>
    </row>
    <row r="75" spans="1:36" outlineLevel="1" x14ac:dyDescent="0.3">
      <c r="A75" s="340" t="s">
        <v>192</v>
      </c>
      <c r="B75" s="341"/>
      <c r="C75" s="341"/>
      <c r="D75" s="341"/>
      <c r="E75" s="324"/>
      <c r="F75" s="322"/>
      <c r="G75" s="323"/>
      <c r="H75" s="436"/>
      <c r="I75" s="324"/>
      <c r="J75" s="324"/>
      <c r="K75" s="286"/>
      <c r="L75" s="324"/>
      <c r="M75" s="323"/>
      <c r="N75" s="436"/>
      <c r="O75" s="324"/>
      <c r="P75" s="324"/>
      <c r="Q75" s="286"/>
      <c r="R75" s="282"/>
      <c r="S75" s="323"/>
      <c r="T75" s="436"/>
      <c r="U75" s="324"/>
      <c r="V75" s="324"/>
      <c r="W75" s="286"/>
      <c r="X75" s="282"/>
      <c r="Y75" s="323"/>
      <c r="Z75" s="436"/>
      <c r="AA75" s="324"/>
      <c r="AB75" s="324"/>
      <c r="AC75" s="282"/>
      <c r="AD75" s="285"/>
      <c r="AE75" s="323"/>
      <c r="AF75" s="436"/>
      <c r="AG75" s="324"/>
      <c r="AH75" s="324"/>
      <c r="AI75" s="286"/>
      <c r="AJ75" s="269">
        <f>K75+Q75+W75+AC75+AI75</f>
        <v>0</v>
      </c>
    </row>
    <row r="76" spans="1:36" outlineLevel="1" x14ac:dyDescent="0.3">
      <c r="A76" s="340" t="s">
        <v>193</v>
      </c>
      <c r="B76" s="341"/>
      <c r="C76" s="341"/>
      <c r="D76" s="341"/>
      <c r="E76" s="324"/>
      <c r="F76" s="322"/>
      <c r="G76" s="323"/>
      <c r="H76" s="436"/>
      <c r="I76" s="324"/>
      <c r="J76" s="324"/>
      <c r="K76" s="3"/>
      <c r="L76" s="324"/>
      <c r="M76" s="323"/>
      <c r="N76" s="436"/>
      <c r="O76" s="324"/>
      <c r="P76" s="324"/>
      <c r="Q76" s="366"/>
      <c r="R76" s="365"/>
      <c r="S76" s="323"/>
      <c r="T76" s="436"/>
      <c r="U76" s="324"/>
      <c r="V76" s="324"/>
      <c r="W76" s="366"/>
      <c r="X76" s="365"/>
      <c r="Y76" s="323"/>
      <c r="Z76" s="436"/>
      <c r="AA76" s="324"/>
      <c r="AB76" s="324"/>
      <c r="AC76" s="2"/>
      <c r="AD76" s="74"/>
      <c r="AE76" s="323"/>
      <c r="AF76" s="436"/>
      <c r="AG76" s="324"/>
      <c r="AH76" s="324"/>
      <c r="AI76" s="3"/>
      <c r="AJ76" s="269"/>
    </row>
    <row r="77" spans="1:36" outlineLevel="1" x14ac:dyDescent="0.3">
      <c r="A77" s="340" t="s">
        <v>194</v>
      </c>
      <c r="B77" s="341"/>
      <c r="C77" s="341"/>
      <c r="D77" s="341"/>
      <c r="E77" s="324"/>
      <c r="F77" s="322"/>
      <c r="G77" s="323"/>
      <c r="H77" s="436"/>
      <c r="I77" s="324"/>
      <c r="J77" s="324"/>
      <c r="K77" s="286"/>
      <c r="L77" s="324"/>
      <c r="M77" s="323"/>
      <c r="N77" s="436"/>
      <c r="O77" s="324"/>
      <c r="P77" s="324"/>
      <c r="Q77" s="481"/>
      <c r="R77" s="480"/>
      <c r="S77" s="323"/>
      <c r="T77" s="436"/>
      <c r="U77" s="324"/>
      <c r="V77" s="324"/>
      <c r="W77" s="481"/>
      <c r="X77" s="480"/>
      <c r="Y77" s="323"/>
      <c r="Z77" s="436"/>
      <c r="AA77" s="324"/>
      <c r="AB77" s="324"/>
      <c r="AC77" s="282"/>
      <c r="AD77" s="285"/>
      <c r="AE77" s="323"/>
      <c r="AF77" s="436"/>
      <c r="AG77" s="324"/>
      <c r="AH77" s="324"/>
      <c r="AI77" s="286"/>
      <c r="AJ77" s="269">
        <f t="shared" ref="AJ77:AJ82" si="43">K77+Q77+W77+AC77+AI77</f>
        <v>0</v>
      </c>
    </row>
    <row r="78" spans="1:36" outlineLevel="1" x14ac:dyDescent="0.3">
      <c r="A78" s="377" t="s">
        <v>195</v>
      </c>
      <c r="B78" s="378"/>
      <c r="C78" s="378"/>
      <c r="D78" s="378"/>
      <c r="E78" s="358"/>
      <c r="F78" s="357"/>
      <c r="G78" s="379"/>
      <c r="H78" s="437"/>
      <c r="I78" s="358"/>
      <c r="J78" s="358"/>
      <c r="K78" s="286"/>
      <c r="L78" s="358"/>
      <c r="M78" s="379"/>
      <c r="N78" s="437"/>
      <c r="O78" s="358"/>
      <c r="P78" s="358"/>
      <c r="Q78" s="483"/>
      <c r="R78" s="484"/>
      <c r="S78" s="379"/>
      <c r="T78" s="437"/>
      <c r="U78" s="358"/>
      <c r="V78" s="358"/>
      <c r="W78" s="483"/>
      <c r="X78" s="484"/>
      <c r="Y78" s="379"/>
      <c r="Z78" s="437"/>
      <c r="AA78" s="358"/>
      <c r="AB78" s="358"/>
      <c r="AC78" s="282"/>
      <c r="AD78" s="285"/>
      <c r="AE78" s="379"/>
      <c r="AF78" s="437"/>
      <c r="AG78" s="358"/>
      <c r="AH78" s="358"/>
      <c r="AI78" s="286"/>
      <c r="AJ78" s="269">
        <f t="shared" si="43"/>
        <v>0</v>
      </c>
    </row>
    <row r="79" spans="1:36" outlineLevel="1" x14ac:dyDescent="0.3">
      <c r="A79" s="304" t="s">
        <v>196</v>
      </c>
      <c r="B79" s="305"/>
      <c r="C79" s="305"/>
      <c r="D79" s="305"/>
      <c r="E79" s="485"/>
      <c r="F79" s="306"/>
      <c r="G79" s="307"/>
      <c r="H79" s="308"/>
      <c r="I79" s="309"/>
      <c r="J79" s="309"/>
      <c r="K79" s="310">
        <f>SUM(K77:K78)</f>
        <v>0</v>
      </c>
      <c r="L79" s="309"/>
      <c r="M79" s="307"/>
      <c r="N79" s="308"/>
      <c r="O79" s="309"/>
      <c r="P79" s="309"/>
      <c r="Q79" s="310">
        <f>SUM(Q77:Q78)</f>
        <v>0</v>
      </c>
      <c r="R79" s="309"/>
      <c r="S79" s="307"/>
      <c r="T79" s="308"/>
      <c r="U79" s="309"/>
      <c r="V79" s="309"/>
      <c r="W79" s="310">
        <f>SUM(W77:W78)</f>
        <v>0</v>
      </c>
      <c r="X79" s="309"/>
      <c r="Y79" s="307"/>
      <c r="Z79" s="308"/>
      <c r="AA79" s="309"/>
      <c r="AB79" s="309"/>
      <c r="AC79" s="309">
        <f>SUM(AC77:AC78)</f>
        <v>0</v>
      </c>
      <c r="AD79" s="306"/>
      <c r="AE79" s="307"/>
      <c r="AF79" s="308"/>
      <c r="AG79" s="309"/>
      <c r="AH79" s="309"/>
      <c r="AI79" s="310">
        <f>SUM(AI77:AI78)</f>
        <v>0</v>
      </c>
      <c r="AJ79" s="486">
        <f t="shared" si="43"/>
        <v>0</v>
      </c>
    </row>
    <row r="80" spans="1:36" ht="15" thickBot="1" x14ac:dyDescent="0.35">
      <c r="A80" s="10" t="s">
        <v>200</v>
      </c>
      <c r="B80" s="19"/>
      <c r="C80" s="19"/>
      <c r="D80" s="19"/>
      <c r="E80" s="15"/>
      <c r="F80" s="94"/>
      <c r="G80" s="95"/>
      <c r="H80" s="96"/>
      <c r="I80" s="487"/>
      <c r="J80" s="487"/>
      <c r="K80" s="487">
        <f>K66+K67+K68+K69+K73+K74+K75+K79</f>
        <v>0</v>
      </c>
      <c r="L80" s="55"/>
      <c r="M80" s="56"/>
      <c r="N80" s="23"/>
      <c r="O80" s="11"/>
      <c r="P80" s="11"/>
      <c r="Q80" s="11">
        <f>Q66+Q67+Q68+Q69+Q73+Q74+Q75+Q79</f>
        <v>0</v>
      </c>
      <c r="R80" s="55"/>
      <c r="S80" s="56"/>
      <c r="T80" s="23"/>
      <c r="U80" s="11"/>
      <c r="V80" s="11"/>
      <c r="W80" s="11">
        <f>W66+W67+W68+W69+W73+W74+W75+W79</f>
        <v>0</v>
      </c>
      <c r="X80" s="55"/>
      <c r="Y80" s="56"/>
      <c r="Z80" s="23"/>
      <c r="AA80" s="11"/>
      <c r="AB80" s="11"/>
      <c r="AC80" s="11">
        <f>AC66+AC67+AC68+AC69+AC73+AC74+AC75+AC79</f>
        <v>0</v>
      </c>
      <c r="AD80" s="55"/>
      <c r="AE80" s="56"/>
      <c r="AF80" s="23"/>
      <c r="AG80" s="11"/>
      <c r="AH80" s="11"/>
      <c r="AI80" s="12">
        <f>AI66+AI67+AI68+AI69+AI73+AI74+AI75+AI79</f>
        <v>0</v>
      </c>
      <c r="AJ80" s="287">
        <f t="shared" si="43"/>
        <v>0</v>
      </c>
    </row>
    <row r="81" spans="1:36" s="40" customFormat="1" ht="18.600000000000001" thickBot="1" x14ac:dyDescent="0.35">
      <c r="A81" s="47" t="s">
        <v>201</v>
      </c>
      <c r="B81" s="44"/>
      <c r="C81" s="44"/>
      <c r="D81" s="44"/>
      <c r="E81" s="43"/>
      <c r="F81" s="57"/>
      <c r="G81" s="58"/>
      <c r="H81" s="42"/>
      <c r="I81" s="43"/>
      <c r="J81" s="43"/>
      <c r="K81" s="43">
        <f>K43+K47+K51+K59+K80</f>
        <v>6053.268</v>
      </c>
      <c r="L81" s="57"/>
      <c r="M81" s="58"/>
      <c r="N81" s="42"/>
      <c r="O81" s="43"/>
      <c r="P81" s="43"/>
      <c r="Q81" s="43">
        <f>Q43+Q47+Q51+Q59+Q80</f>
        <v>15435.833400000001</v>
      </c>
      <c r="R81" s="57"/>
      <c r="S81" s="58"/>
      <c r="T81" s="42"/>
      <c r="U81" s="43"/>
      <c r="V81" s="43"/>
      <c r="W81" s="43">
        <f>W43+W47+W51+W59+W80</f>
        <v>15744.550068</v>
      </c>
      <c r="X81" s="57"/>
      <c r="Y81" s="58"/>
      <c r="Z81" s="42"/>
      <c r="AA81" s="43"/>
      <c r="AB81" s="43"/>
      <c r="AC81" s="43">
        <f>AC43+AC47+AC51+AC59+AC80</f>
        <v>16059.441069360002</v>
      </c>
      <c r="AD81" s="57"/>
      <c r="AE81" s="58"/>
      <c r="AF81" s="42"/>
      <c r="AG81" s="43"/>
      <c r="AH81" s="43"/>
      <c r="AI81" s="41">
        <f>AI43+AI47+AI51+AI59+AI80</f>
        <v>0</v>
      </c>
      <c r="AJ81" s="488">
        <f t="shared" si="43"/>
        <v>53293.092537359997</v>
      </c>
    </row>
    <row r="82" spans="1:36" s="32" customFormat="1" ht="15" thickBot="1" x14ac:dyDescent="0.35">
      <c r="A82" s="27" t="s">
        <v>202</v>
      </c>
      <c r="B82" s="28"/>
      <c r="C82" s="28"/>
      <c r="D82" s="28"/>
      <c r="E82" s="29"/>
      <c r="F82" s="59"/>
      <c r="G82" s="60"/>
      <c r="H82" s="30"/>
      <c r="I82" s="29"/>
      <c r="J82" s="29"/>
      <c r="K82" s="29">
        <f>K81-K79-K53-K47</f>
        <v>6053.268</v>
      </c>
      <c r="L82" s="59"/>
      <c r="M82" s="60"/>
      <c r="N82" s="30"/>
      <c r="O82" s="29"/>
      <c r="P82" s="29"/>
      <c r="Q82" s="29">
        <f>Q81-Q79-Q53-Q47</f>
        <v>15435.833400000001</v>
      </c>
      <c r="R82" s="59"/>
      <c r="S82" s="60"/>
      <c r="T82" s="30"/>
      <c r="U82" s="29"/>
      <c r="V82" s="29"/>
      <c r="W82" s="29">
        <f>W81-W79-W53-W47</f>
        <v>15744.550068</v>
      </c>
      <c r="X82" s="59"/>
      <c r="Y82" s="60"/>
      <c r="Z82" s="30"/>
      <c r="AA82" s="29"/>
      <c r="AB82" s="29"/>
      <c r="AC82" s="29">
        <f>AC81-AC79-AC53-AC47</f>
        <v>16059.441069360002</v>
      </c>
      <c r="AD82" s="59"/>
      <c r="AE82" s="60"/>
      <c r="AF82" s="30"/>
      <c r="AG82" s="29"/>
      <c r="AH82" s="29"/>
      <c r="AI82" s="31">
        <f>AI81-AI79-AI53-AI47</f>
        <v>0</v>
      </c>
      <c r="AJ82" s="256">
        <f t="shared" si="43"/>
        <v>53293.092537359997</v>
      </c>
    </row>
    <row r="83" spans="1:36" s="38" customFormat="1" ht="15" thickBot="1" x14ac:dyDescent="0.35">
      <c r="A83" s="33" t="s">
        <v>46</v>
      </c>
      <c r="B83" s="34"/>
      <c r="C83" s="34"/>
      <c r="D83" s="34"/>
      <c r="E83" s="35"/>
      <c r="F83" s="61"/>
      <c r="G83" s="62"/>
      <c r="H83" s="36"/>
      <c r="I83" s="35"/>
      <c r="J83" s="35"/>
      <c r="K83" s="35">
        <f>K82*$E$11</f>
        <v>3026.634</v>
      </c>
      <c r="L83" s="61"/>
      <c r="M83" s="62"/>
      <c r="N83" s="36"/>
      <c r="O83" s="35"/>
      <c r="P83" s="35"/>
      <c r="Q83" s="35">
        <f>Q82*$E$12</f>
        <v>7717.9167000000007</v>
      </c>
      <c r="R83" s="61"/>
      <c r="S83" s="62"/>
      <c r="T83" s="36"/>
      <c r="U83" s="35"/>
      <c r="V83" s="35"/>
      <c r="W83" s="35">
        <f>W82*$E$12</f>
        <v>7872.2750340000002</v>
      </c>
      <c r="X83" s="61"/>
      <c r="Y83" s="62"/>
      <c r="Z83" s="36"/>
      <c r="AA83" s="35"/>
      <c r="AB83" s="35"/>
      <c r="AC83" s="35">
        <f>AC82*$E$14</f>
        <v>8029.720534680001</v>
      </c>
      <c r="AD83" s="61"/>
      <c r="AE83" s="62"/>
      <c r="AF83" s="36"/>
      <c r="AG83" s="35"/>
      <c r="AH83" s="35"/>
      <c r="AI83" s="37">
        <f>AI82*$E$15</f>
        <v>0</v>
      </c>
      <c r="AJ83" s="257">
        <f>K83+Q83+W83+AC83+AI83</f>
        <v>26646.546268679998</v>
      </c>
    </row>
    <row r="84" spans="1:36" s="46" customFormat="1" ht="18.600000000000001" thickBot="1" x14ac:dyDescent="0.35">
      <c r="A84" s="48" t="s">
        <v>23</v>
      </c>
      <c r="B84" s="39"/>
      <c r="C84" s="39"/>
      <c r="D84" s="39"/>
      <c r="E84" s="45"/>
      <c r="F84" s="51"/>
      <c r="G84" s="52"/>
      <c r="H84" s="53"/>
      <c r="I84" s="54"/>
      <c r="J84" s="54"/>
      <c r="K84" s="54">
        <f>K81+K83</f>
        <v>9079.902</v>
      </c>
      <c r="L84" s="51"/>
      <c r="M84" s="52"/>
      <c r="N84" s="53"/>
      <c r="O84" s="54"/>
      <c r="P84" s="54"/>
      <c r="Q84" s="54">
        <f>Q81+Q83</f>
        <v>23153.750100000001</v>
      </c>
      <c r="R84" s="51"/>
      <c r="S84" s="52"/>
      <c r="T84" s="53"/>
      <c r="U84" s="54"/>
      <c r="V84" s="54"/>
      <c r="W84" s="54">
        <f>W81+W83</f>
        <v>23616.825102000003</v>
      </c>
      <c r="X84" s="51"/>
      <c r="Y84" s="52"/>
      <c r="Z84" s="53"/>
      <c r="AA84" s="54"/>
      <c r="AB84" s="54"/>
      <c r="AC84" s="54">
        <f>AC81+AC83</f>
        <v>24089.161604040004</v>
      </c>
      <c r="AD84" s="51"/>
      <c r="AE84" s="52"/>
      <c r="AF84" s="53"/>
      <c r="AG84" s="54"/>
      <c r="AH84" s="54"/>
      <c r="AI84" s="87">
        <f>AI81+AI83</f>
        <v>0</v>
      </c>
      <c r="AJ84" s="258">
        <f>AJ81+AJ83</f>
        <v>79939.638806039991</v>
      </c>
    </row>
    <row r="85" spans="1:36" x14ac:dyDescent="0.3">
      <c r="E85" s="2"/>
      <c r="F85" s="2"/>
      <c r="I85" s="2"/>
      <c r="J85" s="2"/>
      <c r="K85" s="2"/>
      <c r="L85" s="2"/>
      <c r="O85" s="2"/>
      <c r="P85" s="2"/>
      <c r="Q85" s="2"/>
      <c r="R85" s="2"/>
      <c r="U85" s="2"/>
      <c r="V85" s="2"/>
      <c r="W85" s="2"/>
      <c r="X85" s="2"/>
      <c r="AA85" s="2"/>
      <c r="AB85" s="2"/>
      <c r="AC85" s="2"/>
      <c r="AD85" s="2"/>
      <c r="AG85" s="2"/>
      <c r="AH85" s="2"/>
      <c r="AI85" s="2"/>
    </row>
    <row r="86" spans="1:36" s="5" customFormat="1" x14ac:dyDescent="0.3">
      <c r="A86" s="17" t="s">
        <v>235</v>
      </c>
      <c r="B86" s="17"/>
      <c r="C86" s="17"/>
      <c r="D86" s="17"/>
      <c r="E86" s="79"/>
      <c r="F86" s="79"/>
      <c r="G86" s="80"/>
      <c r="H86" s="81"/>
      <c r="I86" s="79"/>
      <c r="J86" s="79"/>
      <c r="K86" s="79"/>
      <c r="L86" s="79"/>
      <c r="M86" s="80"/>
      <c r="N86" s="88"/>
      <c r="O86" s="79"/>
      <c r="P86" s="79"/>
      <c r="Q86" s="548"/>
      <c r="R86" s="79"/>
      <c r="S86" s="80"/>
      <c r="T86" s="81"/>
      <c r="U86" s="79"/>
      <c r="V86" s="79"/>
      <c r="W86" s="79"/>
      <c r="X86" s="79"/>
      <c r="Y86" s="80"/>
      <c r="Z86" s="81"/>
      <c r="AA86" s="79"/>
      <c r="AB86" s="79"/>
      <c r="AC86" s="79"/>
      <c r="AD86" s="79"/>
      <c r="AE86" s="80"/>
      <c r="AF86" s="81"/>
      <c r="AG86" s="79"/>
      <c r="AH86" s="79"/>
      <c r="AI86" s="79">
        <f>IF(K86+Q86+W86+AC86=25000,0,IF(K84+Q84+W84+AC84+AI84&lt;25000,AI84,25000-K86-Q86-W86-AC86))</f>
        <v>25000</v>
      </c>
    </row>
    <row r="87" spans="1:36" x14ac:dyDescent="0.3">
      <c r="E87" s="2"/>
      <c r="F87" s="2"/>
      <c r="I87" s="2"/>
      <c r="J87" s="2"/>
      <c r="K87" s="2"/>
      <c r="L87" s="2"/>
      <c r="O87" s="2"/>
      <c r="P87" s="2"/>
      <c r="Q87" s="2"/>
      <c r="R87" s="2"/>
      <c r="U87" s="2"/>
      <c r="V87" s="2"/>
      <c r="W87" s="2"/>
      <c r="X87" s="2"/>
      <c r="AA87" s="2"/>
      <c r="AB87" s="2"/>
      <c r="AC87" s="2"/>
      <c r="AD87" s="2"/>
      <c r="AG87" s="2"/>
      <c r="AH87" s="2"/>
      <c r="AI87" s="2"/>
    </row>
    <row r="88" spans="1:36" x14ac:dyDescent="0.3">
      <c r="E88" s="2"/>
      <c r="F88" s="2"/>
      <c r="I88" s="2"/>
      <c r="J88" s="2"/>
      <c r="K88" s="2"/>
      <c r="L88" s="2"/>
      <c r="O88" s="2"/>
      <c r="P88" s="2"/>
      <c r="Q88" s="2"/>
      <c r="R88" s="2"/>
      <c r="U88" s="2"/>
      <c r="V88" s="2"/>
      <c r="W88" s="2"/>
      <c r="X88" s="2"/>
      <c r="AA88" s="2"/>
      <c r="AB88" s="2"/>
      <c r="AC88" s="2"/>
      <c r="AD88" s="2"/>
      <c r="AG88" s="2"/>
      <c r="AH88" s="2"/>
      <c r="AI88" s="2"/>
    </row>
    <row r="89" spans="1:36" x14ac:dyDescent="0.3">
      <c r="E89" s="2"/>
      <c r="F89" s="2"/>
      <c r="I89" s="2"/>
      <c r="J89" s="2"/>
      <c r="K89" s="2"/>
      <c r="L89" s="2"/>
      <c r="O89" s="2"/>
      <c r="P89" s="2"/>
      <c r="Q89" s="2"/>
      <c r="R89" s="2"/>
      <c r="U89" s="2"/>
      <c r="V89" s="2"/>
      <c r="W89" s="2"/>
      <c r="X89" s="2"/>
      <c r="AA89" s="2"/>
      <c r="AB89" s="2"/>
      <c r="AC89" s="2"/>
      <c r="AD89" s="2"/>
      <c r="AG89" s="2"/>
      <c r="AH89" s="2"/>
      <c r="AI89" s="2"/>
    </row>
    <row r="90" spans="1:36" x14ac:dyDescent="0.3">
      <c r="E90" s="2"/>
      <c r="F90" s="2"/>
      <c r="I90" s="2"/>
      <c r="J90" s="2"/>
      <c r="K90" s="2"/>
      <c r="L90" s="2"/>
      <c r="O90" s="2"/>
      <c r="P90" s="2"/>
      <c r="Q90" s="2"/>
      <c r="R90" s="2"/>
      <c r="U90" s="2"/>
      <c r="V90" s="2"/>
      <c r="W90" s="2"/>
      <c r="X90" s="2"/>
      <c r="AA90" s="2"/>
      <c r="AB90" s="2"/>
      <c r="AC90" s="2"/>
      <c r="AD90" s="2"/>
      <c r="AG90" s="2"/>
      <c r="AH90" s="2"/>
      <c r="AI90" s="2"/>
    </row>
    <row r="91" spans="1:36" x14ac:dyDescent="0.3">
      <c r="E91" s="2"/>
      <c r="F91" s="2"/>
      <c r="I91" s="2"/>
      <c r="J91" s="2"/>
      <c r="K91" s="2"/>
      <c r="L91" s="2"/>
      <c r="O91" s="2"/>
      <c r="P91" s="2"/>
      <c r="Q91" s="2"/>
      <c r="R91" s="2"/>
      <c r="U91" s="2"/>
      <c r="V91" s="2"/>
      <c r="W91" s="2"/>
      <c r="X91" s="2"/>
      <c r="AA91" s="2"/>
      <c r="AB91" s="2"/>
      <c r="AC91" s="2"/>
      <c r="AD91" s="2"/>
      <c r="AG91" s="2"/>
      <c r="AH91" s="2"/>
      <c r="AI91" s="2"/>
    </row>
    <row r="92" spans="1:36" x14ac:dyDescent="0.3">
      <c r="E92" s="2"/>
      <c r="F92" s="2"/>
      <c r="I92" s="2"/>
      <c r="J92" s="2"/>
      <c r="K92" s="2"/>
      <c r="L92" s="2"/>
      <c r="O92" s="2"/>
      <c r="P92" s="2"/>
      <c r="Q92" s="2"/>
      <c r="R92" s="2"/>
      <c r="U92" s="2"/>
      <c r="V92" s="2"/>
      <c r="W92" s="2"/>
      <c r="X92" s="2"/>
      <c r="AA92" s="2"/>
      <c r="AB92" s="2"/>
      <c r="AC92" s="2"/>
      <c r="AD92" s="2"/>
      <c r="AG92" s="2"/>
      <c r="AH92" s="2"/>
      <c r="AI92" s="2"/>
    </row>
    <row r="93" spans="1:36" x14ac:dyDescent="0.3">
      <c r="E93" s="2"/>
      <c r="F93" s="2"/>
      <c r="I93" s="2"/>
      <c r="J93" s="2"/>
      <c r="K93" s="2"/>
      <c r="L93" s="2"/>
      <c r="O93" s="2"/>
      <c r="P93" s="2"/>
      <c r="Q93" s="2"/>
      <c r="R93" s="2"/>
      <c r="U93" s="2"/>
      <c r="V93" s="2"/>
      <c r="W93" s="2"/>
      <c r="X93" s="2"/>
      <c r="AA93" s="2"/>
      <c r="AB93" s="2"/>
      <c r="AC93" s="2"/>
      <c r="AD93" s="2"/>
      <c r="AG93" s="2"/>
      <c r="AH93" s="2"/>
      <c r="AI93" s="2"/>
    </row>
    <row r="94" spans="1:36" x14ac:dyDescent="0.3">
      <c r="E94" s="2"/>
      <c r="F94" s="2"/>
      <c r="I94" s="2"/>
      <c r="J94" s="2"/>
      <c r="K94" s="2"/>
      <c r="L94" s="2"/>
      <c r="O94" s="2"/>
      <c r="P94" s="2"/>
      <c r="Q94" s="2"/>
      <c r="R94" s="2"/>
      <c r="U94" s="2"/>
      <c r="V94" s="2"/>
      <c r="W94" s="2"/>
      <c r="X94" s="2"/>
      <c r="AA94" s="2"/>
      <c r="AB94" s="2"/>
      <c r="AC94" s="2"/>
      <c r="AD94" s="2"/>
      <c r="AG94" s="2"/>
      <c r="AH94" s="2"/>
      <c r="AI94" s="2"/>
    </row>
    <row r="95" spans="1:36" x14ac:dyDescent="0.3">
      <c r="E95" s="2"/>
      <c r="F95" s="2"/>
      <c r="I95" s="2"/>
      <c r="J95" s="2"/>
      <c r="K95" s="2"/>
      <c r="L95" s="2"/>
      <c r="O95" s="2"/>
      <c r="P95" s="2"/>
      <c r="Q95" s="2"/>
      <c r="R95" s="2"/>
      <c r="U95" s="2"/>
      <c r="V95" s="2"/>
      <c r="W95" s="2"/>
      <c r="X95" s="2"/>
      <c r="AA95" s="2"/>
      <c r="AB95" s="2"/>
      <c r="AC95" s="2"/>
      <c r="AD95" s="2"/>
      <c r="AG95" s="2"/>
      <c r="AH95" s="2"/>
      <c r="AI95" s="2"/>
    </row>
    <row r="96" spans="1:36" x14ac:dyDescent="0.3">
      <c r="E96" s="2"/>
      <c r="F96" s="2"/>
      <c r="I96" s="2"/>
      <c r="J96" s="2"/>
      <c r="K96" s="2"/>
      <c r="L96" s="2"/>
      <c r="O96" s="2"/>
      <c r="P96" s="2"/>
      <c r="Q96" s="2"/>
      <c r="R96" s="2"/>
      <c r="U96" s="2"/>
      <c r="V96" s="2"/>
      <c r="W96" s="2"/>
      <c r="X96" s="2"/>
      <c r="AA96" s="2"/>
      <c r="AB96" s="2"/>
      <c r="AC96" s="2"/>
      <c r="AD96" s="2"/>
      <c r="AG96" s="2"/>
      <c r="AH96" s="2"/>
      <c r="AI96" s="2"/>
    </row>
    <row r="97" spans="5:35" x14ac:dyDescent="0.3">
      <c r="E97" s="2"/>
      <c r="F97" s="2"/>
      <c r="I97" s="2"/>
      <c r="J97" s="2"/>
      <c r="K97" s="2"/>
      <c r="L97" s="2"/>
      <c r="O97" s="2"/>
      <c r="P97" s="2"/>
      <c r="Q97" s="2"/>
      <c r="R97" s="2"/>
      <c r="U97" s="2"/>
      <c r="V97" s="2"/>
      <c r="W97" s="2"/>
      <c r="X97" s="2"/>
      <c r="AA97" s="2"/>
      <c r="AB97" s="2"/>
      <c r="AC97" s="2"/>
      <c r="AD97" s="2"/>
      <c r="AG97" s="2"/>
      <c r="AH97" s="2"/>
      <c r="AI97" s="2"/>
    </row>
    <row r="98" spans="5:35" x14ac:dyDescent="0.3">
      <c r="E98" s="2"/>
      <c r="F98" s="2"/>
      <c r="I98" s="2"/>
      <c r="J98" s="2"/>
      <c r="K98" s="2"/>
      <c r="L98" s="2"/>
      <c r="O98" s="2"/>
      <c r="P98" s="2"/>
      <c r="Q98" s="2"/>
      <c r="R98" s="2"/>
      <c r="U98" s="2"/>
      <c r="V98" s="2"/>
      <c r="W98" s="2"/>
      <c r="X98" s="2"/>
      <c r="AA98" s="2"/>
      <c r="AB98" s="2"/>
      <c r="AC98" s="2"/>
      <c r="AD98" s="2"/>
      <c r="AG98" s="2"/>
      <c r="AH98" s="2"/>
      <c r="AI98" s="2"/>
    </row>
    <row r="99" spans="5:35" x14ac:dyDescent="0.3">
      <c r="E99" s="2"/>
      <c r="F99" s="2"/>
      <c r="I99" s="2"/>
      <c r="J99" s="2"/>
      <c r="K99" s="2"/>
      <c r="L99" s="2"/>
      <c r="O99" s="2"/>
      <c r="P99" s="2"/>
      <c r="Q99" s="2"/>
      <c r="R99" s="2"/>
      <c r="U99" s="2"/>
      <c r="V99" s="2"/>
      <c r="W99" s="2"/>
      <c r="X99" s="2"/>
      <c r="AA99" s="2"/>
      <c r="AB99" s="2"/>
      <c r="AC99" s="2"/>
      <c r="AD99" s="2"/>
      <c r="AG99" s="2"/>
      <c r="AH99" s="2"/>
      <c r="AI99" s="2"/>
    </row>
  </sheetData>
  <mergeCells count="20">
    <mergeCell ref="B7:E7"/>
    <mergeCell ref="B1:E1"/>
    <mergeCell ref="B2:E2"/>
    <mergeCell ref="B3:E3"/>
    <mergeCell ref="B5:E5"/>
    <mergeCell ref="B6:E6"/>
    <mergeCell ref="B8:E8"/>
    <mergeCell ref="B9:E9"/>
    <mergeCell ref="A10:B10"/>
    <mergeCell ref="D10:E10"/>
    <mergeCell ref="F17:K17"/>
    <mergeCell ref="R17:W17"/>
    <mergeCell ref="X17:AC17"/>
    <mergeCell ref="AD17:AI17"/>
    <mergeCell ref="F18:K18"/>
    <mergeCell ref="L18:Q18"/>
    <mergeCell ref="R18:W18"/>
    <mergeCell ref="X18:AC18"/>
    <mergeCell ref="AD18:AI18"/>
    <mergeCell ref="L17:Q17"/>
  </mergeCells>
  <conditionalFormatting sqref="A21">
    <cfRule type="cellIs" dxfId="6" priority="1" operator="equal">
      <formula>0</formula>
    </cfRule>
  </conditionalFormatting>
  <conditionalFormatting sqref="B1:E9">
    <cfRule type="cellIs" dxfId="5" priority="2" operator="equal">
      <formula>0</formula>
    </cfRule>
    <cfRule type="cellIs" dxfId="4" priority="3" operator="equal">
      <formula>0</formula>
    </cfRule>
    <cfRule type="cellIs" dxfId="3" priority="4" operator="equal">
      <formula>0</formula>
    </cfRule>
  </conditionalFormatting>
  <dataValidations disablePrompts="1" count="1">
    <dataValidation type="list" allowBlank="1" showInputMessage="1" showErrorMessage="1" sqref="C21:C31 C33:C42" xr:uid="{00000000-0002-0000-0400-000000000000}">
      <formula1>$A$9:$A$12</formula1>
    </dataValidation>
  </dataValidations>
  <pageMargins left="0.1" right="0.1" top="0.1" bottom="0.1" header="0.3" footer="0.3"/>
  <pageSetup scale="56"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0.39997558519241921"/>
    <pageSetUpPr fitToPage="1"/>
  </sheetPr>
  <dimension ref="A1:AJ99"/>
  <sheetViews>
    <sheetView showGridLines="0" topLeftCell="A7" zoomScaleNormal="100" zoomScalePageLayoutView="70" workbookViewId="0">
      <selection activeCell="O21" sqref="O21"/>
    </sheetView>
  </sheetViews>
  <sheetFormatPr defaultColWidth="8.88671875" defaultRowHeight="14.4" outlineLevelRow="1" outlineLevelCol="1" x14ac:dyDescent="0.3"/>
  <cols>
    <col min="1" max="1" width="23" style="6" customWidth="1"/>
    <col min="2" max="2" width="18.44140625" style="6" bestFit="1" customWidth="1"/>
    <col min="3" max="3" width="12.44140625" style="6" bestFit="1" customWidth="1"/>
    <col min="4" max="4" width="9.5546875" style="6" customWidth="1"/>
    <col min="5" max="5" width="12.44140625" style="1" bestFit="1" customWidth="1"/>
    <col min="6" max="6" width="11.5546875" style="1" customWidth="1"/>
    <col min="7" max="7" width="11.88671875" style="26" customWidth="1"/>
    <col min="8" max="8" width="11.44140625" style="20" bestFit="1" customWidth="1"/>
    <col min="9" max="9" width="11.88671875" style="1" customWidth="1"/>
    <col min="10" max="10" width="9.88671875" style="1" customWidth="1"/>
    <col min="11" max="11" width="11" style="1" customWidth="1"/>
    <col min="12" max="12" width="11.5546875" style="1" customWidth="1" outlineLevel="1"/>
    <col min="13" max="13" width="11.88671875" style="26" customWidth="1" outlineLevel="1"/>
    <col min="14" max="14" width="11.109375" style="22" customWidth="1" outlineLevel="1"/>
    <col min="15" max="15" width="11.88671875" style="1" customWidth="1" outlineLevel="1"/>
    <col min="16" max="16" width="9.88671875" style="1" customWidth="1" outlineLevel="1"/>
    <col min="17" max="17" width="11" style="1" customWidth="1" outlineLevel="1"/>
    <col min="18" max="18" width="11.5546875" style="1" customWidth="1" outlineLevel="1"/>
    <col min="19" max="19" width="11.88671875" style="26" customWidth="1" outlineLevel="1"/>
    <col min="20" max="20" width="11.109375" style="20" customWidth="1" outlineLevel="1"/>
    <col min="21" max="21" width="11.88671875" style="1" customWidth="1" outlineLevel="1"/>
    <col min="22" max="22" width="9.88671875" style="1" customWidth="1" outlineLevel="1"/>
    <col min="23" max="23" width="11" style="1" customWidth="1" outlineLevel="1"/>
    <col min="24" max="24" width="11.5546875" style="1" customWidth="1" outlineLevel="1"/>
    <col min="25" max="25" width="11.88671875" style="26" customWidth="1" outlineLevel="1"/>
    <col min="26" max="26" width="11.109375" style="20" customWidth="1" outlineLevel="1"/>
    <col min="27" max="27" width="11.88671875" style="1" customWidth="1" outlineLevel="1"/>
    <col min="28" max="28" width="9.88671875" style="1" customWidth="1" outlineLevel="1"/>
    <col min="29" max="29" width="11" style="1" customWidth="1" outlineLevel="1"/>
    <col min="30" max="30" width="11.5546875" style="1" hidden="1" customWidth="1" outlineLevel="1"/>
    <col min="31" max="31" width="11.88671875" style="26" hidden="1" customWidth="1" outlineLevel="1"/>
    <col min="32" max="32" width="11.109375" style="20" hidden="1" customWidth="1" outlineLevel="1"/>
    <col min="33" max="33" width="11.88671875" style="1" hidden="1" customWidth="1" outlineLevel="1"/>
    <col min="34" max="34" width="9.88671875" style="1" hidden="1" customWidth="1" outlineLevel="1"/>
    <col min="35" max="35" width="11" style="1" hidden="1" customWidth="1" outlineLevel="1"/>
    <col min="36" max="36" width="17.44140625" style="1" customWidth="1"/>
    <col min="37" max="16384" width="8.88671875" style="1"/>
  </cols>
  <sheetData>
    <row r="1" spans="1:32" s="158" customFormat="1" ht="15" customHeight="1" x14ac:dyDescent="0.3">
      <c r="A1" s="126" t="s">
        <v>4</v>
      </c>
      <c r="B1" s="708" t="str">
        <f>'Primary Site'!$B$1</f>
        <v>DoD CDMRP Epilepsy Research Program Research Partnership Award</v>
      </c>
      <c r="C1" s="708"/>
      <c r="D1" s="708"/>
      <c r="E1" s="708"/>
      <c r="F1" s="154"/>
      <c r="G1" s="154"/>
      <c r="H1" s="154"/>
      <c r="I1" s="154"/>
      <c r="J1" s="154"/>
      <c r="M1" s="156"/>
      <c r="N1" s="186"/>
      <c r="S1" s="156"/>
      <c r="T1" s="185"/>
      <c r="Y1" s="156"/>
      <c r="Z1" s="185"/>
      <c r="AE1" s="156"/>
      <c r="AF1" s="185"/>
    </row>
    <row r="2" spans="1:32" s="158" customFormat="1" x14ac:dyDescent="0.3">
      <c r="A2" s="126" t="s">
        <v>0</v>
      </c>
      <c r="B2" s="708" t="str">
        <f>'Primary Site'!$B$2</f>
        <v>MINUTE</v>
      </c>
      <c r="C2" s="708"/>
      <c r="D2" s="708"/>
      <c r="E2" s="708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6"/>
      <c r="S2" s="156"/>
      <c r="T2" s="185"/>
      <c r="Y2" s="156"/>
      <c r="Z2" s="185"/>
      <c r="AE2" s="156"/>
      <c r="AF2" s="185"/>
    </row>
    <row r="3" spans="1:32" s="158" customFormat="1" x14ac:dyDescent="0.3">
      <c r="A3" s="126" t="s">
        <v>207</v>
      </c>
      <c r="B3" s="706" t="s">
        <v>239</v>
      </c>
      <c r="C3" s="706"/>
      <c r="D3" s="706"/>
      <c r="E3" s="706"/>
      <c r="G3" s="154"/>
      <c r="H3" s="154"/>
      <c r="I3" s="154"/>
      <c r="M3" s="156"/>
      <c r="N3" s="186"/>
      <c r="S3" s="156"/>
      <c r="T3" s="185"/>
      <c r="Y3" s="156"/>
      <c r="Z3" s="185"/>
      <c r="AE3" s="156"/>
      <c r="AF3" s="185"/>
    </row>
    <row r="4" spans="1:32" s="158" customFormat="1" x14ac:dyDescent="0.3">
      <c r="A4" s="126" t="s">
        <v>209</v>
      </c>
      <c r="B4" s="706" t="s">
        <v>24</v>
      </c>
      <c r="C4" s="706"/>
      <c r="D4" s="706"/>
      <c r="E4" s="706"/>
      <c r="G4" s="154"/>
      <c r="H4" s="154"/>
      <c r="I4" s="154"/>
      <c r="M4" s="156"/>
      <c r="N4" s="186"/>
      <c r="S4" s="156"/>
      <c r="T4" s="185"/>
      <c r="Y4" s="156"/>
      <c r="Z4" s="185"/>
      <c r="AE4" s="156"/>
      <c r="AF4" s="185"/>
    </row>
    <row r="5" spans="1:32" s="158" customFormat="1" outlineLevel="1" x14ac:dyDescent="0.3">
      <c r="A5" s="126" t="s">
        <v>40</v>
      </c>
      <c r="B5" s="709">
        <v>44105</v>
      </c>
      <c r="C5" s="706"/>
      <c r="D5" s="706"/>
      <c r="E5" s="706"/>
      <c r="G5" s="154"/>
      <c r="H5" s="154"/>
      <c r="I5" s="154"/>
      <c r="M5" s="156"/>
      <c r="N5" s="186"/>
      <c r="S5" s="156"/>
      <c r="T5" s="185"/>
      <c r="Y5" s="156"/>
      <c r="Z5" s="185"/>
      <c r="AE5" s="156"/>
      <c r="AF5" s="185"/>
    </row>
    <row r="6" spans="1:32" s="158" customFormat="1" ht="15.9" customHeight="1" outlineLevel="1" x14ac:dyDescent="0.3">
      <c r="A6" s="126" t="s">
        <v>41</v>
      </c>
      <c r="B6" s="706">
        <v>4</v>
      </c>
      <c r="C6" s="706"/>
      <c r="D6" s="706"/>
      <c r="E6" s="706"/>
      <c r="G6" s="154"/>
      <c r="H6" s="154"/>
      <c r="I6" s="154"/>
      <c r="K6" s="187"/>
      <c r="M6" s="156"/>
      <c r="N6" s="186"/>
      <c r="S6" s="156"/>
      <c r="T6" s="185"/>
      <c r="Y6" s="156"/>
      <c r="Z6" s="185"/>
      <c r="AE6" s="156"/>
      <c r="AF6" s="185"/>
    </row>
    <row r="7" spans="1:32" s="158" customFormat="1" ht="15.9" customHeight="1" outlineLevel="1" x14ac:dyDescent="0.3">
      <c r="A7" s="126" t="s">
        <v>6</v>
      </c>
      <c r="B7" s="706" t="str">
        <f>'Primary Site'!$B$6</f>
        <v xml:space="preserve">DoD  </v>
      </c>
      <c r="C7" s="706"/>
      <c r="D7" s="706"/>
      <c r="E7" s="706"/>
      <c r="F7" s="154"/>
      <c r="G7" s="154"/>
      <c r="H7" s="154"/>
      <c r="I7" s="154"/>
      <c r="K7" s="187"/>
      <c r="M7" s="156"/>
      <c r="N7" s="186"/>
      <c r="S7" s="156"/>
      <c r="T7" s="185"/>
      <c r="Y7" s="156"/>
      <c r="Z7" s="185"/>
      <c r="AE7" s="156"/>
      <c r="AF7" s="185"/>
    </row>
    <row r="8" spans="1:32" s="158" customFormat="1" ht="15" customHeight="1" outlineLevel="1" x14ac:dyDescent="0.3">
      <c r="A8" s="126" t="s">
        <v>43</v>
      </c>
      <c r="B8" s="706" t="str">
        <f>'Primary Site'!$B$7</f>
        <v>None</v>
      </c>
      <c r="C8" s="706"/>
      <c r="D8" s="706"/>
      <c r="E8" s="706"/>
      <c r="F8" s="154"/>
      <c r="G8" s="154"/>
      <c r="H8" s="154"/>
      <c r="I8" s="154"/>
      <c r="K8" s="187"/>
      <c r="M8" s="156"/>
      <c r="N8" s="186"/>
      <c r="S8" s="156"/>
      <c r="T8" s="185"/>
      <c r="Y8" s="156"/>
      <c r="Z8" s="185"/>
      <c r="AE8" s="156"/>
      <c r="AF8" s="185"/>
    </row>
    <row r="9" spans="1:32" s="158" customFormat="1" ht="15" customHeight="1" outlineLevel="1" thickBot="1" x14ac:dyDescent="0.35">
      <c r="A9" s="126" t="s">
        <v>7</v>
      </c>
      <c r="B9" s="707">
        <f>'Primary Site'!$B$8</f>
        <v>44033</v>
      </c>
      <c r="C9" s="707"/>
      <c r="D9" s="707"/>
      <c r="E9" s="707"/>
      <c r="G9" s="126"/>
      <c r="H9" s="126"/>
      <c r="I9" s="160"/>
      <c r="K9" s="187"/>
      <c r="M9" s="156"/>
      <c r="N9" s="186"/>
      <c r="S9" s="156"/>
      <c r="T9" s="185"/>
      <c r="Y9" s="156"/>
      <c r="Z9" s="185"/>
      <c r="AE9" s="156"/>
      <c r="AF9" s="185"/>
    </row>
    <row r="10" spans="1:32" s="158" customFormat="1" ht="15" outlineLevel="1" thickBot="1" x14ac:dyDescent="0.35">
      <c r="A10" s="658" t="s">
        <v>45</v>
      </c>
      <c r="B10" s="659"/>
      <c r="C10" s="175"/>
      <c r="D10" s="660" t="s">
        <v>46</v>
      </c>
      <c r="E10" s="661"/>
      <c r="F10" s="184" t="s">
        <v>47</v>
      </c>
      <c r="G10" s="175" t="s">
        <v>48</v>
      </c>
      <c r="H10" s="176" t="s">
        <v>49</v>
      </c>
      <c r="N10" s="186"/>
      <c r="S10" s="156"/>
      <c r="T10" s="185"/>
      <c r="Y10" s="156"/>
      <c r="Z10" s="185"/>
      <c r="AE10" s="156"/>
      <c r="AF10" s="185"/>
    </row>
    <row r="11" spans="1:32" s="158" customFormat="1" outlineLevel="1" x14ac:dyDescent="0.3">
      <c r="A11" s="127" t="s">
        <v>50</v>
      </c>
      <c r="B11" s="240"/>
      <c r="C11" s="240">
        <v>0.32</v>
      </c>
      <c r="D11" s="162" t="s">
        <v>51</v>
      </c>
      <c r="E11" s="242">
        <v>0.6</v>
      </c>
      <c r="F11" s="177">
        <f>IF($B$6&gt;=1,1,"")</f>
        <v>1</v>
      </c>
      <c r="G11" s="201">
        <f>IF(NOT(ISBLANK(B5)), B5, "")</f>
        <v>44105</v>
      </c>
      <c r="H11" s="200">
        <f>IF(F11&lt;&gt;"",DATE(YEAR(G11)+1,MONTH(G11),DAY(G11)-1),"")</f>
        <v>44469</v>
      </c>
      <c r="N11" s="186"/>
      <c r="S11" s="156"/>
      <c r="T11" s="185"/>
      <c r="Y11" s="156"/>
      <c r="Z11" s="185"/>
      <c r="AE11" s="156"/>
      <c r="AF11" s="185"/>
    </row>
    <row r="12" spans="1:32" s="158" customFormat="1" outlineLevel="1" x14ac:dyDescent="0.3">
      <c r="A12" s="127" t="s">
        <v>52</v>
      </c>
      <c r="B12" s="108"/>
      <c r="C12" s="108"/>
      <c r="D12" s="162" t="s">
        <v>53</v>
      </c>
      <c r="E12" s="242">
        <v>0.6</v>
      </c>
      <c r="F12" s="178">
        <f>IF($B$6&gt;=2,2,"")</f>
        <v>2</v>
      </c>
      <c r="G12" s="179">
        <f>IF(F12&lt;&gt;"",DATE(YEAR(G11)+1,MONTH(G11), DAY(G11)),"")</f>
        <v>44470</v>
      </c>
      <c r="H12" s="180">
        <f>IF(F12&lt;&gt;"",DATE(YEAR(G12)+1,MONTH(G12),DAY(G12)-1),"")</f>
        <v>44834</v>
      </c>
      <c r="N12" s="186"/>
      <c r="S12" s="156"/>
      <c r="T12" s="185"/>
      <c r="Y12" s="156"/>
      <c r="Z12" s="185"/>
      <c r="AE12" s="156"/>
      <c r="AF12" s="185"/>
    </row>
    <row r="13" spans="1:32" s="158" customFormat="1" outlineLevel="1" x14ac:dyDescent="0.3">
      <c r="A13" s="127" t="s">
        <v>54</v>
      </c>
      <c r="B13" s="108"/>
      <c r="C13" s="108">
        <v>0.1</v>
      </c>
      <c r="D13" s="163" t="s">
        <v>55</v>
      </c>
      <c r="E13" s="242">
        <v>0.6</v>
      </c>
      <c r="F13" s="178">
        <f>IF($B$6&gt;=3,3,"")</f>
        <v>3</v>
      </c>
      <c r="G13" s="179">
        <f t="shared" ref="G13:G15" si="0">IF(F13&lt;&gt;"",DATE(YEAR(G12)+1,MONTH(G12), DAY(G12)),"")</f>
        <v>44835</v>
      </c>
      <c r="H13" s="180">
        <f t="shared" ref="H13:H15" si="1">IF(F13&lt;&gt;"",DATE(YEAR(G13)+1,MONTH(G13),DAY(G13)-1),"")</f>
        <v>45199</v>
      </c>
      <c r="N13" s="186"/>
      <c r="S13" s="156"/>
      <c r="T13" s="185"/>
      <c r="Y13" s="156"/>
      <c r="Z13" s="185"/>
      <c r="AE13" s="156"/>
      <c r="AF13" s="185"/>
    </row>
    <row r="14" spans="1:32" s="158" customFormat="1" outlineLevel="1" x14ac:dyDescent="0.3">
      <c r="A14" s="127" t="s">
        <v>56</v>
      </c>
      <c r="B14" s="108"/>
      <c r="C14" s="108"/>
      <c r="D14" s="163" t="s">
        <v>57</v>
      </c>
      <c r="E14" s="242">
        <v>0.6</v>
      </c>
      <c r="F14" s="178">
        <f>IF($B$6&gt;=4,4,"")</f>
        <v>4</v>
      </c>
      <c r="G14" s="179">
        <f t="shared" si="0"/>
        <v>45200</v>
      </c>
      <c r="H14" s="180">
        <f t="shared" si="1"/>
        <v>45565</v>
      </c>
      <c r="N14" s="186"/>
      <c r="S14" s="156"/>
      <c r="T14" s="185"/>
      <c r="Y14" s="156"/>
      <c r="Z14" s="185"/>
      <c r="AE14" s="156"/>
      <c r="AF14" s="185"/>
    </row>
    <row r="15" spans="1:32" s="158" customFormat="1" ht="15" outlineLevel="1" thickBot="1" x14ac:dyDescent="0.35">
      <c r="A15" s="128" t="s">
        <v>58</v>
      </c>
      <c r="B15" s="241"/>
      <c r="C15" s="241"/>
      <c r="D15" s="165" t="s">
        <v>59</v>
      </c>
      <c r="E15" s="243"/>
      <c r="F15" s="181" t="str">
        <f>IF($B$6&gt;=5,5,"")</f>
        <v/>
      </c>
      <c r="G15" s="182" t="str">
        <f t="shared" si="0"/>
        <v/>
      </c>
      <c r="H15" s="183" t="str">
        <f t="shared" si="1"/>
        <v/>
      </c>
      <c r="N15" s="186"/>
      <c r="S15" s="156"/>
      <c r="T15" s="185"/>
      <c r="Y15" s="156"/>
      <c r="Z15" s="185"/>
      <c r="AE15" s="156"/>
      <c r="AF15" s="185"/>
    </row>
    <row r="16" spans="1:32" s="158" customFormat="1" ht="15" outlineLevel="1" thickBot="1" x14ac:dyDescent="0.35">
      <c r="A16" s="154"/>
      <c r="B16" s="154"/>
      <c r="C16" s="154"/>
      <c r="D16" s="154"/>
      <c r="G16" s="156"/>
      <c r="H16" s="185"/>
      <c r="M16" s="156"/>
      <c r="N16" s="186"/>
      <c r="S16" s="156"/>
      <c r="T16" s="185"/>
      <c r="Y16" s="156"/>
      <c r="Z16" s="185"/>
      <c r="AE16" s="156"/>
      <c r="AF16" s="185"/>
    </row>
    <row r="17" spans="1:36" ht="18.75" customHeight="1" x14ac:dyDescent="0.3">
      <c r="A17" s="259" t="s">
        <v>62</v>
      </c>
      <c r="B17" s="260"/>
      <c r="C17" s="260"/>
      <c r="D17" s="260"/>
      <c r="E17" s="261"/>
      <c r="F17" s="700" t="s">
        <v>51</v>
      </c>
      <c r="G17" s="701"/>
      <c r="H17" s="701"/>
      <c r="I17" s="701"/>
      <c r="J17" s="701"/>
      <c r="K17" s="702"/>
      <c r="L17" s="700" t="s">
        <v>53</v>
      </c>
      <c r="M17" s="701"/>
      <c r="N17" s="701"/>
      <c r="O17" s="701"/>
      <c r="P17" s="701"/>
      <c r="Q17" s="702"/>
      <c r="R17" s="700" t="s">
        <v>55</v>
      </c>
      <c r="S17" s="701"/>
      <c r="T17" s="701"/>
      <c r="U17" s="701"/>
      <c r="V17" s="701"/>
      <c r="W17" s="702"/>
      <c r="X17" s="700" t="s">
        <v>57</v>
      </c>
      <c r="Y17" s="701"/>
      <c r="Z17" s="701"/>
      <c r="AA17" s="701"/>
      <c r="AB17" s="701"/>
      <c r="AC17" s="702"/>
      <c r="AD17" s="700" t="s">
        <v>59</v>
      </c>
      <c r="AE17" s="701"/>
      <c r="AF17" s="701"/>
      <c r="AG17" s="701"/>
      <c r="AH17" s="701"/>
      <c r="AI17" s="702"/>
      <c r="AJ17" s="262" t="s">
        <v>67</v>
      </c>
    </row>
    <row r="18" spans="1:36" ht="18.600000000000001" thickBot="1" x14ac:dyDescent="0.35">
      <c r="A18" s="263"/>
      <c r="B18" s="263"/>
      <c r="C18" s="263"/>
      <c r="D18" s="263"/>
      <c r="E18" s="264"/>
      <c r="F18" s="703" t="str">
        <f>CONCATENATE(TEXT($G11,"mm/dd/yyy"),"  -  ",TEXT($H11,"mm/dd/yyyy"))</f>
        <v>10/01/2020  -  09/30/2021</v>
      </c>
      <c r="G18" s="704"/>
      <c r="H18" s="704"/>
      <c r="I18" s="704"/>
      <c r="J18" s="704"/>
      <c r="K18" s="705"/>
      <c r="L18" s="703" t="str">
        <f>CONCATENATE(TEXT($G12,"mm/dd/yyy"),"  -  ",TEXT($H12,"mm/dd/yyyy"))</f>
        <v>10/01/2021  -  09/30/2022</v>
      </c>
      <c r="M18" s="704"/>
      <c r="N18" s="704"/>
      <c r="O18" s="704"/>
      <c r="P18" s="704"/>
      <c r="Q18" s="705"/>
      <c r="R18" s="703" t="str">
        <f>CONCATENATE(TEXT($G13,"mm/dd/yyy"),"  -  ",TEXT($H13,"mm/dd/yyyy"))</f>
        <v>10/01/2022  -  09/30/2023</v>
      </c>
      <c r="S18" s="704"/>
      <c r="T18" s="704"/>
      <c r="U18" s="704"/>
      <c r="V18" s="704"/>
      <c r="W18" s="705"/>
      <c r="X18" s="703" t="str">
        <f>CONCATENATE(TEXT($G14,"mm/dd/yyy"),"  -  ",TEXT($H14,"mm/dd/yyyy"))</f>
        <v>10/01/2023  -  09/30/2024</v>
      </c>
      <c r="Y18" s="704"/>
      <c r="Z18" s="704"/>
      <c r="AA18" s="704"/>
      <c r="AB18" s="704"/>
      <c r="AC18" s="705"/>
      <c r="AD18" s="703" t="str">
        <f>CONCATENATE(TEXT($G15,"mm/dd/yyy"),"  -  ",TEXT($H15,"mm/dd/yyyy"))</f>
        <v xml:space="preserve">  -  </v>
      </c>
      <c r="AE18" s="704"/>
      <c r="AF18" s="704"/>
      <c r="AG18" s="704"/>
      <c r="AH18" s="704"/>
      <c r="AI18" s="705"/>
      <c r="AJ18" s="466"/>
    </row>
    <row r="19" spans="1:36" s="4" customFormat="1" ht="44.25" customHeight="1" thickBot="1" x14ac:dyDescent="0.35">
      <c r="A19" s="208" t="s">
        <v>68</v>
      </c>
      <c r="B19" s="209" t="s">
        <v>69</v>
      </c>
      <c r="C19" s="209" t="s">
        <v>71</v>
      </c>
      <c r="D19" s="209" t="s">
        <v>72</v>
      </c>
      <c r="E19" s="210" t="s">
        <v>75</v>
      </c>
      <c r="F19" s="211" t="s">
        <v>210</v>
      </c>
      <c r="G19" s="212" t="s">
        <v>77</v>
      </c>
      <c r="H19" s="213" t="s">
        <v>78</v>
      </c>
      <c r="I19" s="214" t="s">
        <v>79</v>
      </c>
      <c r="J19" s="214" t="s">
        <v>80</v>
      </c>
      <c r="K19" s="210" t="s">
        <v>81</v>
      </c>
      <c r="L19" s="211" t="s">
        <v>210</v>
      </c>
      <c r="M19" s="212" t="s">
        <v>77</v>
      </c>
      <c r="N19" s="213" t="s">
        <v>78</v>
      </c>
      <c r="O19" s="214" t="s">
        <v>79</v>
      </c>
      <c r="P19" s="214" t="s">
        <v>80</v>
      </c>
      <c r="Q19" s="210" t="s">
        <v>81</v>
      </c>
      <c r="R19" s="211" t="s">
        <v>210</v>
      </c>
      <c r="S19" s="212" t="s">
        <v>77</v>
      </c>
      <c r="T19" s="213" t="s">
        <v>78</v>
      </c>
      <c r="U19" s="214" t="s">
        <v>79</v>
      </c>
      <c r="V19" s="214" t="s">
        <v>80</v>
      </c>
      <c r="W19" s="210" t="s">
        <v>81</v>
      </c>
      <c r="X19" s="211" t="s">
        <v>210</v>
      </c>
      <c r="Y19" s="212" t="s">
        <v>77</v>
      </c>
      <c r="Z19" s="213" t="s">
        <v>78</v>
      </c>
      <c r="AA19" s="214" t="s">
        <v>79</v>
      </c>
      <c r="AB19" s="214" t="s">
        <v>80</v>
      </c>
      <c r="AC19" s="210" t="s">
        <v>81</v>
      </c>
      <c r="AD19" s="211" t="s">
        <v>210</v>
      </c>
      <c r="AE19" s="212" t="s">
        <v>77</v>
      </c>
      <c r="AF19" s="213" t="s">
        <v>78</v>
      </c>
      <c r="AG19" s="214" t="s">
        <v>79</v>
      </c>
      <c r="AH19" s="214" t="s">
        <v>80</v>
      </c>
      <c r="AI19" s="210" t="s">
        <v>81</v>
      </c>
      <c r="AJ19" s="265"/>
    </row>
    <row r="20" spans="1:36" s="4" customFormat="1" ht="18" outlineLevel="1" x14ac:dyDescent="0.3">
      <c r="A20" s="13" t="s">
        <v>85</v>
      </c>
      <c r="B20" s="16"/>
      <c r="C20" s="16"/>
      <c r="D20" s="16"/>
      <c r="F20" s="63"/>
      <c r="G20" s="70"/>
      <c r="H20" s="83"/>
      <c r="I20" s="72"/>
      <c r="J20" s="72"/>
      <c r="K20" s="72"/>
      <c r="L20" s="63"/>
      <c r="M20" s="70"/>
      <c r="N20" s="83"/>
      <c r="O20" s="72"/>
      <c r="P20" s="72"/>
      <c r="Q20" s="72"/>
      <c r="R20" s="63"/>
      <c r="S20" s="70"/>
      <c r="T20" s="83"/>
      <c r="U20" s="72"/>
      <c r="V20" s="72"/>
      <c r="W20" s="72"/>
      <c r="X20" s="63"/>
      <c r="Y20" s="70"/>
      <c r="Z20" s="83"/>
      <c r="AA20" s="72"/>
      <c r="AB20" s="72"/>
      <c r="AC20" s="72"/>
      <c r="AD20" s="63"/>
      <c r="AE20" s="70"/>
      <c r="AF20" s="83"/>
      <c r="AG20" s="72"/>
      <c r="AH20" s="72"/>
      <c r="AI20" s="84"/>
      <c r="AJ20" s="273"/>
    </row>
    <row r="21" spans="1:36" outlineLevel="1" x14ac:dyDescent="0.3">
      <c r="A21" s="106" t="s">
        <v>240</v>
      </c>
      <c r="B21" s="107" t="s">
        <v>241</v>
      </c>
      <c r="C21" s="107" t="s">
        <v>50</v>
      </c>
      <c r="D21" s="317">
        <v>0.32</v>
      </c>
      <c r="E21" s="244">
        <v>400000</v>
      </c>
      <c r="F21" s="322">
        <f>IF(AND($E$8="DHHS",E21&gt;'Stipends &amp; Salary Caps'!$B$22),'Stipends &amp; Salary Caps'!$B$22,IF(AND($F$9="PCORI",E21&gt;'Stipends &amp; Salary Caps'!$B$23),'Stipends &amp; Salary Caps'!$B$23,E21))</f>
        <v>400000</v>
      </c>
      <c r="G21" s="323">
        <f>12*H21</f>
        <v>0</v>
      </c>
      <c r="H21" s="245">
        <v>0</v>
      </c>
      <c r="I21" s="324">
        <f>H21* F21</f>
        <v>0</v>
      </c>
      <c r="J21" s="324">
        <f>I21*0.32</f>
        <v>0</v>
      </c>
      <c r="K21" s="324">
        <f t="shared" ref="K21:K31" si="2">I21+J21</f>
        <v>0</v>
      </c>
      <c r="L21" s="322">
        <v>0</v>
      </c>
      <c r="M21" s="323">
        <f>12*N21</f>
        <v>0</v>
      </c>
      <c r="N21" s="245">
        <v>0</v>
      </c>
      <c r="O21" s="324">
        <v>22828</v>
      </c>
      <c r="P21" s="324">
        <f>O21*0.32</f>
        <v>7304.96</v>
      </c>
      <c r="Q21" s="324">
        <v>0</v>
      </c>
      <c r="R21" s="322">
        <f>L21*1.02</f>
        <v>0</v>
      </c>
      <c r="S21" s="323">
        <f>12*T21</f>
        <v>0</v>
      </c>
      <c r="T21" s="245">
        <v>0</v>
      </c>
      <c r="U21" s="324">
        <f>R21*T21</f>
        <v>0</v>
      </c>
      <c r="V21" s="324">
        <f>U21*0.32</f>
        <v>0</v>
      </c>
      <c r="W21" s="324">
        <f t="shared" ref="W21:W31" si="3">U21+V21</f>
        <v>0</v>
      </c>
      <c r="X21" s="322">
        <f>R21*1.02</f>
        <v>0</v>
      </c>
      <c r="Y21" s="323">
        <f>12*Z21</f>
        <v>0</v>
      </c>
      <c r="Z21" s="245">
        <v>0</v>
      </c>
      <c r="AA21" s="324" t="s">
        <v>242</v>
      </c>
      <c r="AB21" s="324" t="e">
        <f>AA21*0.32</f>
        <v>#VALUE!</v>
      </c>
      <c r="AC21" s="324">
        <v>0</v>
      </c>
      <c r="AD21" s="322">
        <f>X21</f>
        <v>0</v>
      </c>
      <c r="AE21" s="323">
        <f>12*AF21</f>
        <v>0</v>
      </c>
      <c r="AF21" s="245"/>
      <c r="AG21" s="324">
        <f>$E$21*AF21</f>
        <v>0</v>
      </c>
      <c r="AH21" s="324">
        <f>AG21*D21</f>
        <v>0</v>
      </c>
      <c r="AI21" s="325">
        <f t="shared" ref="AI21:AI31" si="4">AG21+AH21</f>
        <v>0</v>
      </c>
      <c r="AJ21" s="272">
        <f t="shared" ref="AJ21:AJ31" si="5">K21+Q21+W21+AC21+AI21</f>
        <v>0</v>
      </c>
    </row>
    <row r="22" spans="1:36" outlineLevel="1" x14ac:dyDescent="0.3">
      <c r="A22" s="106"/>
      <c r="B22" s="107"/>
      <c r="C22" s="107" t="s">
        <v>50</v>
      </c>
      <c r="D22" s="317">
        <f t="shared" ref="D22:D31" si="6">LOOKUP(C22,$A$9:$A$12,$B$9:$B$12)</f>
        <v>0</v>
      </c>
      <c r="E22" s="244"/>
      <c r="F22" s="322">
        <f>IF(AND($E$8="DHHS",E22&gt;'Stipends &amp; Salary Caps'!$B$22),'Stipends &amp; Salary Caps'!$B$22,IF(AND($F$9="PCORI",E22&gt;'Stipends &amp; Salary Caps'!$B$23),'Stipends &amp; Salary Caps'!$B$23,E22))</f>
        <v>0</v>
      </c>
      <c r="G22" s="323">
        <f t="shared" ref="G22:G42" si="7">12*H22</f>
        <v>0</v>
      </c>
      <c r="H22" s="245"/>
      <c r="I22" s="324">
        <f t="shared" ref="I22:I31" si="8">$E22*H22</f>
        <v>0</v>
      </c>
      <c r="J22" s="324">
        <f t="shared" ref="J22:J42" si="9">I22*D22</f>
        <v>0</v>
      </c>
      <c r="K22" s="324">
        <f t="shared" si="2"/>
        <v>0</v>
      </c>
      <c r="L22" s="322">
        <f>F22</f>
        <v>0</v>
      </c>
      <c r="M22" s="323">
        <f t="shared" ref="M22:M42" si="10">12*N22</f>
        <v>0</v>
      </c>
      <c r="N22" s="245"/>
      <c r="O22" s="324">
        <f>$L22*N22</f>
        <v>0</v>
      </c>
      <c r="P22" s="324">
        <f t="shared" ref="P22:P42" si="11">O22*D22</f>
        <v>0</v>
      </c>
      <c r="Q22" s="324">
        <f t="shared" ref="Q22:Q31" si="12">O22+P22</f>
        <v>0</v>
      </c>
      <c r="R22" s="322">
        <f t="shared" ref="R22:R42" si="13">L22</f>
        <v>0</v>
      </c>
      <c r="S22" s="323">
        <f t="shared" ref="S22:S42" si="14">12*T22</f>
        <v>0</v>
      </c>
      <c r="T22" s="245"/>
      <c r="U22" s="324">
        <f t="shared" ref="U22:U31" si="15">$E22*T22</f>
        <v>0</v>
      </c>
      <c r="V22" s="324">
        <f t="shared" ref="V22:V42" si="16">U22*D22</f>
        <v>0</v>
      </c>
      <c r="W22" s="324">
        <f t="shared" si="3"/>
        <v>0</v>
      </c>
      <c r="X22" s="322">
        <f t="shared" ref="X22:X42" si="17">R22</f>
        <v>0</v>
      </c>
      <c r="Y22" s="323">
        <f t="shared" ref="Y22:Y42" si="18">12*Z22</f>
        <v>0</v>
      </c>
      <c r="Z22" s="245"/>
      <c r="AA22" s="324">
        <f t="shared" ref="AA22:AA31" si="19">$E22*Z22</f>
        <v>0</v>
      </c>
      <c r="AB22" s="324">
        <f t="shared" ref="AB22:AB42" si="20">AA22*D22</f>
        <v>0</v>
      </c>
      <c r="AC22" s="324">
        <f t="shared" ref="AC22:AC31" si="21">AA22+AB22</f>
        <v>0</v>
      </c>
      <c r="AD22" s="322">
        <f t="shared" ref="AD22:AD42" si="22">X22</f>
        <v>0</v>
      </c>
      <c r="AE22" s="323">
        <f t="shared" ref="AE22:AE42" si="23">12*AF22</f>
        <v>0</v>
      </c>
      <c r="AF22" s="245"/>
      <c r="AG22" s="324">
        <f t="shared" ref="AG22:AG31" si="24">$E22*AF22</f>
        <v>0</v>
      </c>
      <c r="AH22" s="324">
        <f t="shared" ref="AH22:AH42" si="25">AG22*D22</f>
        <v>0</v>
      </c>
      <c r="AI22" s="325">
        <f t="shared" si="4"/>
        <v>0</v>
      </c>
      <c r="AJ22" s="272">
        <f t="shared" si="5"/>
        <v>0</v>
      </c>
    </row>
    <row r="23" spans="1:36" hidden="1" outlineLevel="1" x14ac:dyDescent="0.3">
      <c r="A23" s="106"/>
      <c r="B23" s="107"/>
      <c r="C23" s="107" t="s">
        <v>50</v>
      </c>
      <c r="D23" s="317">
        <f t="shared" si="6"/>
        <v>0</v>
      </c>
      <c r="E23" s="244"/>
      <c r="F23" s="322">
        <f>IF(AND($E$8="DHHS",E23&gt;'Stipends &amp; Salary Caps'!$B$22),'Stipends &amp; Salary Caps'!$B$22,IF(AND($F$9="PCORI",E23&gt;'Stipends &amp; Salary Caps'!$B$23),'Stipends &amp; Salary Caps'!$B$23,E23))</f>
        <v>0</v>
      </c>
      <c r="G23" s="323">
        <f t="shared" si="7"/>
        <v>0</v>
      </c>
      <c r="H23" s="245"/>
      <c r="I23" s="324">
        <f t="shared" si="8"/>
        <v>0</v>
      </c>
      <c r="J23" s="324">
        <f t="shared" si="9"/>
        <v>0</v>
      </c>
      <c r="K23" s="324">
        <f t="shared" si="2"/>
        <v>0</v>
      </c>
      <c r="L23" s="322">
        <f t="shared" ref="L23:L42" si="26">F23</f>
        <v>0</v>
      </c>
      <c r="M23" s="323">
        <f t="shared" si="10"/>
        <v>0</v>
      </c>
      <c r="N23" s="245"/>
      <c r="O23" s="324">
        <f t="shared" ref="O23:O31" si="27">$E23*N23</f>
        <v>0</v>
      </c>
      <c r="P23" s="324">
        <f t="shared" si="11"/>
        <v>0</v>
      </c>
      <c r="Q23" s="324">
        <f t="shared" si="12"/>
        <v>0</v>
      </c>
      <c r="R23" s="322">
        <f t="shared" si="13"/>
        <v>0</v>
      </c>
      <c r="S23" s="323">
        <f t="shared" si="14"/>
        <v>0</v>
      </c>
      <c r="T23" s="245"/>
      <c r="U23" s="324">
        <f t="shared" si="15"/>
        <v>0</v>
      </c>
      <c r="V23" s="324">
        <f t="shared" si="16"/>
        <v>0</v>
      </c>
      <c r="W23" s="324">
        <f t="shared" si="3"/>
        <v>0</v>
      </c>
      <c r="X23" s="322">
        <f t="shared" si="17"/>
        <v>0</v>
      </c>
      <c r="Y23" s="323">
        <f t="shared" si="18"/>
        <v>0</v>
      </c>
      <c r="Z23" s="245"/>
      <c r="AA23" s="324">
        <f t="shared" si="19"/>
        <v>0</v>
      </c>
      <c r="AB23" s="324">
        <f t="shared" si="20"/>
        <v>0</v>
      </c>
      <c r="AC23" s="324">
        <f t="shared" si="21"/>
        <v>0</v>
      </c>
      <c r="AD23" s="322">
        <f t="shared" si="22"/>
        <v>0</v>
      </c>
      <c r="AE23" s="323">
        <f t="shared" si="23"/>
        <v>0</v>
      </c>
      <c r="AF23" s="245"/>
      <c r="AG23" s="324">
        <f t="shared" si="24"/>
        <v>0</v>
      </c>
      <c r="AH23" s="324">
        <f t="shared" si="25"/>
        <v>0</v>
      </c>
      <c r="AI23" s="325">
        <f t="shared" si="4"/>
        <v>0</v>
      </c>
      <c r="AJ23" s="272">
        <f t="shared" si="5"/>
        <v>0</v>
      </c>
    </row>
    <row r="24" spans="1:36" hidden="1" outlineLevel="1" x14ac:dyDescent="0.3">
      <c r="A24" s="106"/>
      <c r="B24" s="107"/>
      <c r="C24" s="107" t="s">
        <v>50</v>
      </c>
      <c r="D24" s="317">
        <f t="shared" si="6"/>
        <v>0</v>
      </c>
      <c r="E24" s="244"/>
      <c r="F24" s="322">
        <f>IF(AND($E$8="DHHS",E24&gt;'Stipends &amp; Salary Caps'!$B$22),'Stipends &amp; Salary Caps'!$B$22,IF(AND($F$9="PCORI",E24&gt;'Stipends &amp; Salary Caps'!$B$23),'Stipends &amp; Salary Caps'!$B$23,E24))</f>
        <v>0</v>
      </c>
      <c r="G24" s="323">
        <f t="shared" si="7"/>
        <v>0</v>
      </c>
      <c r="H24" s="245"/>
      <c r="I24" s="324">
        <f t="shared" si="8"/>
        <v>0</v>
      </c>
      <c r="J24" s="324">
        <f t="shared" si="9"/>
        <v>0</v>
      </c>
      <c r="K24" s="324">
        <f t="shared" si="2"/>
        <v>0</v>
      </c>
      <c r="L24" s="322">
        <f t="shared" si="26"/>
        <v>0</v>
      </c>
      <c r="M24" s="323">
        <f t="shared" si="10"/>
        <v>0</v>
      </c>
      <c r="N24" s="245"/>
      <c r="O24" s="324">
        <f t="shared" si="27"/>
        <v>0</v>
      </c>
      <c r="P24" s="324">
        <f t="shared" si="11"/>
        <v>0</v>
      </c>
      <c r="Q24" s="324">
        <f t="shared" si="12"/>
        <v>0</v>
      </c>
      <c r="R24" s="322">
        <f t="shared" si="13"/>
        <v>0</v>
      </c>
      <c r="S24" s="323">
        <f t="shared" si="14"/>
        <v>0</v>
      </c>
      <c r="T24" s="245"/>
      <c r="U24" s="324">
        <f t="shared" si="15"/>
        <v>0</v>
      </c>
      <c r="V24" s="324">
        <f t="shared" si="16"/>
        <v>0</v>
      </c>
      <c r="W24" s="324">
        <f t="shared" si="3"/>
        <v>0</v>
      </c>
      <c r="X24" s="322">
        <f t="shared" si="17"/>
        <v>0</v>
      </c>
      <c r="Y24" s="323">
        <f t="shared" si="18"/>
        <v>0</v>
      </c>
      <c r="Z24" s="245"/>
      <c r="AA24" s="324">
        <f t="shared" si="19"/>
        <v>0</v>
      </c>
      <c r="AB24" s="324">
        <f t="shared" si="20"/>
        <v>0</v>
      </c>
      <c r="AC24" s="324">
        <f t="shared" si="21"/>
        <v>0</v>
      </c>
      <c r="AD24" s="322">
        <f t="shared" si="22"/>
        <v>0</v>
      </c>
      <c r="AE24" s="323">
        <f t="shared" si="23"/>
        <v>0</v>
      </c>
      <c r="AF24" s="245"/>
      <c r="AG24" s="324">
        <f t="shared" si="24"/>
        <v>0</v>
      </c>
      <c r="AH24" s="324">
        <f t="shared" si="25"/>
        <v>0</v>
      </c>
      <c r="AI24" s="325">
        <f t="shared" si="4"/>
        <v>0</v>
      </c>
      <c r="AJ24" s="272">
        <f t="shared" si="5"/>
        <v>0</v>
      </c>
    </row>
    <row r="25" spans="1:36" hidden="1" outlineLevel="1" x14ac:dyDescent="0.3">
      <c r="A25" s="106"/>
      <c r="B25" s="107"/>
      <c r="C25" s="107" t="s">
        <v>50</v>
      </c>
      <c r="D25" s="317">
        <f t="shared" si="6"/>
        <v>0</v>
      </c>
      <c r="E25" s="244"/>
      <c r="F25" s="322">
        <f>IF(AND($E$8="DHHS",E25&gt;'Stipends &amp; Salary Caps'!$B$22),'Stipends &amp; Salary Caps'!$B$22,IF(AND($F$9="PCORI",E25&gt;'Stipends &amp; Salary Caps'!$B$23),'Stipends &amp; Salary Caps'!$B$23,E25))</f>
        <v>0</v>
      </c>
      <c r="G25" s="323">
        <f t="shared" si="7"/>
        <v>0</v>
      </c>
      <c r="H25" s="245"/>
      <c r="I25" s="324">
        <f t="shared" si="8"/>
        <v>0</v>
      </c>
      <c r="J25" s="324">
        <f t="shared" si="9"/>
        <v>0</v>
      </c>
      <c r="K25" s="324">
        <f t="shared" si="2"/>
        <v>0</v>
      </c>
      <c r="L25" s="322">
        <f t="shared" si="26"/>
        <v>0</v>
      </c>
      <c r="M25" s="323">
        <f t="shared" si="10"/>
        <v>0</v>
      </c>
      <c r="N25" s="245"/>
      <c r="O25" s="324">
        <f t="shared" si="27"/>
        <v>0</v>
      </c>
      <c r="P25" s="324">
        <f t="shared" si="11"/>
        <v>0</v>
      </c>
      <c r="Q25" s="324">
        <f t="shared" si="12"/>
        <v>0</v>
      </c>
      <c r="R25" s="322">
        <f t="shared" si="13"/>
        <v>0</v>
      </c>
      <c r="S25" s="323">
        <f t="shared" si="14"/>
        <v>0</v>
      </c>
      <c r="T25" s="245"/>
      <c r="U25" s="324">
        <f t="shared" si="15"/>
        <v>0</v>
      </c>
      <c r="V25" s="324">
        <f t="shared" si="16"/>
        <v>0</v>
      </c>
      <c r="W25" s="324">
        <f t="shared" si="3"/>
        <v>0</v>
      </c>
      <c r="X25" s="322">
        <f t="shared" si="17"/>
        <v>0</v>
      </c>
      <c r="Y25" s="323">
        <f t="shared" si="18"/>
        <v>0</v>
      </c>
      <c r="Z25" s="245"/>
      <c r="AA25" s="324">
        <f t="shared" si="19"/>
        <v>0</v>
      </c>
      <c r="AB25" s="324">
        <f t="shared" si="20"/>
        <v>0</v>
      </c>
      <c r="AC25" s="324">
        <f t="shared" si="21"/>
        <v>0</v>
      </c>
      <c r="AD25" s="322">
        <f t="shared" si="22"/>
        <v>0</v>
      </c>
      <c r="AE25" s="323">
        <f t="shared" si="23"/>
        <v>0</v>
      </c>
      <c r="AF25" s="245"/>
      <c r="AG25" s="324">
        <f t="shared" si="24"/>
        <v>0</v>
      </c>
      <c r="AH25" s="324">
        <f t="shared" si="25"/>
        <v>0</v>
      </c>
      <c r="AI25" s="325">
        <f t="shared" si="4"/>
        <v>0</v>
      </c>
      <c r="AJ25" s="272">
        <f t="shared" si="5"/>
        <v>0</v>
      </c>
    </row>
    <row r="26" spans="1:36" hidden="1" outlineLevel="1" x14ac:dyDescent="0.3">
      <c r="A26" s="106"/>
      <c r="B26" s="107"/>
      <c r="C26" s="107" t="s">
        <v>50</v>
      </c>
      <c r="D26" s="317">
        <f t="shared" si="6"/>
        <v>0</v>
      </c>
      <c r="E26" s="244"/>
      <c r="F26" s="322">
        <f>IF(AND($E$8="DHHS",E26&gt;'Stipends &amp; Salary Caps'!$B$22),'Stipends &amp; Salary Caps'!$B$22,IF(AND($F$9="PCORI",E26&gt;'Stipends &amp; Salary Caps'!$B$23),'Stipends &amp; Salary Caps'!$B$23,E26))</f>
        <v>0</v>
      </c>
      <c r="G26" s="323">
        <f t="shared" si="7"/>
        <v>0</v>
      </c>
      <c r="H26" s="245"/>
      <c r="I26" s="324">
        <f t="shared" si="8"/>
        <v>0</v>
      </c>
      <c r="J26" s="324">
        <f t="shared" si="9"/>
        <v>0</v>
      </c>
      <c r="K26" s="324">
        <f t="shared" si="2"/>
        <v>0</v>
      </c>
      <c r="L26" s="322">
        <f t="shared" si="26"/>
        <v>0</v>
      </c>
      <c r="M26" s="323">
        <f t="shared" si="10"/>
        <v>0</v>
      </c>
      <c r="N26" s="245"/>
      <c r="O26" s="324">
        <f t="shared" si="27"/>
        <v>0</v>
      </c>
      <c r="P26" s="324">
        <f t="shared" si="11"/>
        <v>0</v>
      </c>
      <c r="Q26" s="324">
        <f t="shared" si="12"/>
        <v>0</v>
      </c>
      <c r="R26" s="322">
        <f t="shared" si="13"/>
        <v>0</v>
      </c>
      <c r="S26" s="323">
        <f t="shared" si="14"/>
        <v>0</v>
      </c>
      <c r="T26" s="245"/>
      <c r="U26" s="324">
        <f t="shared" si="15"/>
        <v>0</v>
      </c>
      <c r="V26" s="324">
        <f t="shared" si="16"/>
        <v>0</v>
      </c>
      <c r="W26" s="324">
        <f t="shared" si="3"/>
        <v>0</v>
      </c>
      <c r="X26" s="322">
        <f t="shared" si="17"/>
        <v>0</v>
      </c>
      <c r="Y26" s="323">
        <f t="shared" si="18"/>
        <v>0</v>
      </c>
      <c r="Z26" s="245"/>
      <c r="AA26" s="324">
        <f t="shared" si="19"/>
        <v>0</v>
      </c>
      <c r="AB26" s="324">
        <f t="shared" si="20"/>
        <v>0</v>
      </c>
      <c r="AC26" s="324">
        <f t="shared" si="21"/>
        <v>0</v>
      </c>
      <c r="AD26" s="322">
        <f t="shared" si="22"/>
        <v>0</v>
      </c>
      <c r="AE26" s="323">
        <f t="shared" si="23"/>
        <v>0</v>
      </c>
      <c r="AF26" s="245"/>
      <c r="AG26" s="324">
        <f t="shared" si="24"/>
        <v>0</v>
      </c>
      <c r="AH26" s="324">
        <f t="shared" si="25"/>
        <v>0</v>
      </c>
      <c r="AI26" s="325">
        <f t="shared" si="4"/>
        <v>0</v>
      </c>
      <c r="AJ26" s="272">
        <f t="shared" si="5"/>
        <v>0</v>
      </c>
    </row>
    <row r="27" spans="1:36" hidden="1" outlineLevel="1" x14ac:dyDescent="0.3">
      <c r="A27" s="106"/>
      <c r="B27" s="107"/>
      <c r="C27" s="107" t="s">
        <v>50</v>
      </c>
      <c r="D27" s="317">
        <f t="shared" si="6"/>
        <v>0</v>
      </c>
      <c r="E27" s="244"/>
      <c r="F27" s="322">
        <f>IF(AND($E$8="DHHS",E27&gt;'Stipends &amp; Salary Caps'!$B$22),'Stipends &amp; Salary Caps'!$B$22,IF(AND($F$9="PCORI",E27&gt;'Stipends &amp; Salary Caps'!$B$23),'Stipends &amp; Salary Caps'!$B$23,E27))</f>
        <v>0</v>
      </c>
      <c r="G27" s="323">
        <f t="shared" si="7"/>
        <v>0</v>
      </c>
      <c r="H27" s="245"/>
      <c r="I27" s="324">
        <f t="shared" si="8"/>
        <v>0</v>
      </c>
      <c r="J27" s="324">
        <f t="shared" si="9"/>
        <v>0</v>
      </c>
      <c r="K27" s="324">
        <f t="shared" si="2"/>
        <v>0</v>
      </c>
      <c r="L27" s="322">
        <f t="shared" si="26"/>
        <v>0</v>
      </c>
      <c r="M27" s="323">
        <f t="shared" si="10"/>
        <v>0</v>
      </c>
      <c r="N27" s="245"/>
      <c r="O27" s="324">
        <f t="shared" si="27"/>
        <v>0</v>
      </c>
      <c r="P27" s="324">
        <f t="shared" si="11"/>
        <v>0</v>
      </c>
      <c r="Q27" s="324">
        <f t="shared" si="12"/>
        <v>0</v>
      </c>
      <c r="R27" s="322">
        <f t="shared" si="13"/>
        <v>0</v>
      </c>
      <c r="S27" s="323">
        <f t="shared" si="14"/>
        <v>0</v>
      </c>
      <c r="T27" s="245"/>
      <c r="U27" s="324">
        <f t="shared" si="15"/>
        <v>0</v>
      </c>
      <c r="V27" s="324">
        <f t="shared" si="16"/>
        <v>0</v>
      </c>
      <c r="W27" s="324">
        <f t="shared" si="3"/>
        <v>0</v>
      </c>
      <c r="X27" s="322">
        <f t="shared" si="17"/>
        <v>0</v>
      </c>
      <c r="Y27" s="323">
        <f t="shared" si="18"/>
        <v>0</v>
      </c>
      <c r="Z27" s="245"/>
      <c r="AA27" s="324">
        <f t="shared" si="19"/>
        <v>0</v>
      </c>
      <c r="AB27" s="324">
        <f t="shared" si="20"/>
        <v>0</v>
      </c>
      <c r="AC27" s="324">
        <f t="shared" si="21"/>
        <v>0</v>
      </c>
      <c r="AD27" s="322">
        <f t="shared" si="22"/>
        <v>0</v>
      </c>
      <c r="AE27" s="323">
        <f t="shared" si="23"/>
        <v>0</v>
      </c>
      <c r="AF27" s="245"/>
      <c r="AG27" s="324">
        <f t="shared" si="24"/>
        <v>0</v>
      </c>
      <c r="AH27" s="324">
        <f t="shared" si="25"/>
        <v>0</v>
      </c>
      <c r="AI27" s="325">
        <f t="shared" si="4"/>
        <v>0</v>
      </c>
      <c r="AJ27" s="272">
        <f t="shared" si="5"/>
        <v>0</v>
      </c>
    </row>
    <row r="28" spans="1:36" hidden="1" outlineLevel="1" x14ac:dyDescent="0.3">
      <c r="A28" s="106"/>
      <c r="B28" s="107"/>
      <c r="C28" s="107" t="s">
        <v>50</v>
      </c>
      <c r="D28" s="317">
        <f t="shared" si="6"/>
        <v>0</v>
      </c>
      <c r="E28" s="244"/>
      <c r="F28" s="322">
        <f>IF(AND($E$8="DHHS",E28&gt;'Stipends &amp; Salary Caps'!$B$22),'Stipends &amp; Salary Caps'!$B$22,IF(AND($F$9="PCORI",E28&gt;'Stipends &amp; Salary Caps'!$B$23),'Stipends &amp; Salary Caps'!$B$23,E28))</f>
        <v>0</v>
      </c>
      <c r="G28" s="323">
        <f t="shared" si="7"/>
        <v>0</v>
      </c>
      <c r="H28" s="245"/>
      <c r="I28" s="324">
        <f t="shared" si="8"/>
        <v>0</v>
      </c>
      <c r="J28" s="324">
        <f t="shared" si="9"/>
        <v>0</v>
      </c>
      <c r="K28" s="324">
        <f t="shared" si="2"/>
        <v>0</v>
      </c>
      <c r="L28" s="322">
        <f t="shared" si="26"/>
        <v>0</v>
      </c>
      <c r="M28" s="323">
        <f t="shared" si="10"/>
        <v>0</v>
      </c>
      <c r="N28" s="245"/>
      <c r="O28" s="324">
        <f t="shared" si="27"/>
        <v>0</v>
      </c>
      <c r="P28" s="324">
        <f t="shared" si="11"/>
        <v>0</v>
      </c>
      <c r="Q28" s="324">
        <f t="shared" si="12"/>
        <v>0</v>
      </c>
      <c r="R28" s="322">
        <f t="shared" si="13"/>
        <v>0</v>
      </c>
      <c r="S28" s="323">
        <f t="shared" si="14"/>
        <v>0</v>
      </c>
      <c r="T28" s="245"/>
      <c r="U28" s="324">
        <f t="shared" si="15"/>
        <v>0</v>
      </c>
      <c r="V28" s="324">
        <f t="shared" si="16"/>
        <v>0</v>
      </c>
      <c r="W28" s="324">
        <f t="shared" si="3"/>
        <v>0</v>
      </c>
      <c r="X28" s="322">
        <f t="shared" si="17"/>
        <v>0</v>
      </c>
      <c r="Y28" s="323">
        <f t="shared" si="18"/>
        <v>0</v>
      </c>
      <c r="Z28" s="245"/>
      <c r="AA28" s="324">
        <f t="shared" si="19"/>
        <v>0</v>
      </c>
      <c r="AB28" s="324">
        <f t="shared" si="20"/>
        <v>0</v>
      </c>
      <c r="AC28" s="324">
        <f t="shared" si="21"/>
        <v>0</v>
      </c>
      <c r="AD28" s="322">
        <f t="shared" si="22"/>
        <v>0</v>
      </c>
      <c r="AE28" s="323">
        <f t="shared" si="23"/>
        <v>0</v>
      </c>
      <c r="AF28" s="245"/>
      <c r="AG28" s="324">
        <f t="shared" si="24"/>
        <v>0</v>
      </c>
      <c r="AH28" s="324">
        <f t="shared" si="25"/>
        <v>0</v>
      </c>
      <c r="AI28" s="325">
        <f t="shared" si="4"/>
        <v>0</v>
      </c>
      <c r="AJ28" s="272">
        <f t="shared" si="5"/>
        <v>0</v>
      </c>
    </row>
    <row r="29" spans="1:36" hidden="1" outlineLevel="1" x14ac:dyDescent="0.3">
      <c r="A29" s="106"/>
      <c r="B29" s="107"/>
      <c r="C29" s="107" t="s">
        <v>50</v>
      </c>
      <c r="D29" s="317">
        <f t="shared" si="6"/>
        <v>0</v>
      </c>
      <c r="E29" s="244"/>
      <c r="F29" s="322">
        <f>IF(AND($E$8="DHHS",E29&gt;'Stipends &amp; Salary Caps'!$B$22),'Stipends &amp; Salary Caps'!$B$22,IF(AND($F$9="PCORI",E29&gt;'Stipends &amp; Salary Caps'!$B$23),'Stipends &amp; Salary Caps'!$B$23,E29))</f>
        <v>0</v>
      </c>
      <c r="G29" s="323">
        <f t="shared" si="7"/>
        <v>0</v>
      </c>
      <c r="H29" s="245"/>
      <c r="I29" s="324">
        <f t="shared" si="8"/>
        <v>0</v>
      </c>
      <c r="J29" s="324">
        <f t="shared" si="9"/>
        <v>0</v>
      </c>
      <c r="K29" s="324">
        <f t="shared" si="2"/>
        <v>0</v>
      </c>
      <c r="L29" s="322">
        <f t="shared" si="26"/>
        <v>0</v>
      </c>
      <c r="M29" s="323">
        <f t="shared" si="10"/>
        <v>0</v>
      </c>
      <c r="N29" s="245"/>
      <c r="O29" s="324">
        <f t="shared" si="27"/>
        <v>0</v>
      </c>
      <c r="P29" s="324">
        <f t="shared" si="11"/>
        <v>0</v>
      </c>
      <c r="Q29" s="324">
        <f t="shared" si="12"/>
        <v>0</v>
      </c>
      <c r="R29" s="322">
        <f t="shared" si="13"/>
        <v>0</v>
      </c>
      <c r="S29" s="323">
        <f t="shared" si="14"/>
        <v>0</v>
      </c>
      <c r="T29" s="245"/>
      <c r="U29" s="324">
        <f t="shared" si="15"/>
        <v>0</v>
      </c>
      <c r="V29" s="324">
        <f t="shared" si="16"/>
        <v>0</v>
      </c>
      <c r="W29" s="324">
        <f t="shared" si="3"/>
        <v>0</v>
      </c>
      <c r="X29" s="322">
        <f t="shared" si="17"/>
        <v>0</v>
      </c>
      <c r="Y29" s="323">
        <f t="shared" si="18"/>
        <v>0</v>
      </c>
      <c r="Z29" s="245"/>
      <c r="AA29" s="324">
        <f t="shared" si="19"/>
        <v>0</v>
      </c>
      <c r="AB29" s="324">
        <f t="shared" si="20"/>
        <v>0</v>
      </c>
      <c r="AC29" s="324">
        <f t="shared" si="21"/>
        <v>0</v>
      </c>
      <c r="AD29" s="322">
        <f t="shared" si="22"/>
        <v>0</v>
      </c>
      <c r="AE29" s="323">
        <f t="shared" si="23"/>
        <v>0</v>
      </c>
      <c r="AF29" s="245"/>
      <c r="AG29" s="324">
        <f t="shared" si="24"/>
        <v>0</v>
      </c>
      <c r="AH29" s="324">
        <f t="shared" si="25"/>
        <v>0</v>
      </c>
      <c r="AI29" s="325">
        <f t="shared" si="4"/>
        <v>0</v>
      </c>
      <c r="AJ29" s="272">
        <f t="shared" si="5"/>
        <v>0</v>
      </c>
    </row>
    <row r="30" spans="1:36" hidden="1" outlineLevel="1" x14ac:dyDescent="0.3">
      <c r="A30" s="106"/>
      <c r="B30" s="107"/>
      <c r="C30" s="107" t="s">
        <v>50</v>
      </c>
      <c r="D30" s="317">
        <f t="shared" si="6"/>
        <v>0</v>
      </c>
      <c r="E30" s="244"/>
      <c r="F30" s="322">
        <f>IF(AND($E$8="DHHS",E30&gt;'Stipends &amp; Salary Caps'!$B$22),'Stipends &amp; Salary Caps'!$B$22,IF(AND($F$9="PCORI",E30&gt;'Stipends &amp; Salary Caps'!$B$23),'Stipends &amp; Salary Caps'!$B$23,E30))</f>
        <v>0</v>
      </c>
      <c r="G30" s="323">
        <f t="shared" si="7"/>
        <v>0</v>
      </c>
      <c r="H30" s="245"/>
      <c r="I30" s="324">
        <f t="shared" si="8"/>
        <v>0</v>
      </c>
      <c r="J30" s="324">
        <f t="shared" si="9"/>
        <v>0</v>
      </c>
      <c r="K30" s="324">
        <f t="shared" si="2"/>
        <v>0</v>
      </c>
      <c r="L30" s="322">
        <f t="shared" si="26"/>
        <v>0</v>
      </c>
      <c r="M30" s="323">
        <f t="shared" si="10"/>
        <v>0</v>
      </c>
      <c r="N30" s="245"/>
      <c r="O30" s="324">
        <f t="shared" si="27"/>
        <v>0</v>
      </c>
      <c r="P30" s="324">
        <f t="shared" si="11"/>
        <v>0</v>
      </c>
      <c r="Q30" s="324">
        <f t="shared" si="12"/>
        <v>0</v>
      </c>
      <c r="R30" s="322">
        <f t="shared" si="13"/>
        <v>0</v>
      </c>
      <c r="S30" s="323">
        <f t="shared" si="14"/>
        <v>0</v>
      </c>
      <c r="T30" s="245"/>
      <c r="U30" s="324">
        <f t="shared" si="15"/>
        <v>0</v>
      </c>
      <c r="V30" s="324">
        <f t="shared" si="16"/>
        <v>0</v>
      </c>
      <c r="W30" s="324">
        <f t="shared" si="3"/>
        <v>0</v>
      </c>
      <c r="X30" s="322">
        <f t="shared" si="17"/>
        <v>0</v>
      </c>
      <c r="Y30" s="323">
        <f t="shared" si="18"/>
        <v>0</v>
      </c>
      <c r="Z30" s="245"/>
      <c r="AA30" s="324">
        <f t="shared" si="19"/>
        <v>0</v>
      </c>
      <c r="AB30" s="324">
        <f t="shared" si="20"/>
        <v>0</v>
      </c>
      <c r="AC30" s="324">
        <f t="shared" si="21"/>
        <v>0</v>
      </c>
      <c r="AD30" s="322">
        <f t="shared" si="22"/>
        <v>0</v>
      </c>
      <c r="AE30" s="323">
        <f t="shared" si="23"/>
        <v>0</v>
      </c>
      <c r="AF30" s="245"/>
      <c r="AG30" s="324">
        <f t="shared" si="24"/>
        <v>0</v>
      </c>
      <c r="AH30" s="324">
        <f t="shared" si="25"/>
        <v>0</v>
      </c>
      <c r="AI30" s="325">
        <f t="shared" si="4"/>
        <v>0</v>
      </c>
      <c r="AJ30" s="272">
        <f t="shared" si="5"/>
        <v>0</v>
      </c>
    </row>
    <row r="31" spans="1:36" outlineLevel="1" x14ac:dyDescent="0.3">
      <c r="A31" s="106"/>
      <c r="B31" s="107"/>
      <c r="C31" s="107" t="s">
        <v>50</v>
      </c>
      <c r="D31" s="317">
        <f t="shared" si="6"/>
        <v>0</v>
      </c>
      <c r="E31" s="244"/>
      <c r="F31" s="322">
        <f>IF(AND($E$8="DHHS",E31&gt;'Stipends &amp; Salary Caps'!$B$22),'Stipends &amp; Salary Caps'!$B$22,IF(AND($F$9="PCORI",E31&gt;'Stipends &amp; Salary Caps'!$B$23),'Stipends &amp; Salary Caps'!$B$23,E31))</f>
        <v>0</v>
      </c>
      <c r="G31" s="323">
        <f t="shared" si="7"/>
        <v>0</v>
      </c>
      <c r="H31" s="245"/>
      <c r="I31" s="324">
        <f t="shared" si="8"/>
        <v>0</v>
      </c>
      <c r="J31" s="324">
        <f>I31*D31</f>
        <v>0</v>
      </c>
      <c r="K31" s="324">
        <f t="shared" si="2"/>
        <v>0</v>
      </c>
      <c r="L31" s="322">
        <f t="shared" si="26"/>
        <v>0</v>
      </c>
      <c r="M31" s="323">
        <f t="shared" si="10"/>
        <v>0</v>
      </c>
      <c r="N31" s="245"/>
      <c r="O31" s="324">
        <f t="shared" si="27"/>
        <v>0</v>
      </c>
      <c r="P31" s="324">
        <f t="shared" si="11"/>
        <v>0</v>
      </c>
      <c r="Q31" s="324">
        <f t="shared" si="12"/>
        <v>0</v>
      </c>
      <c r="R31" s="322">
        <f t="shared" si="13"/>
        <v>0</v>
      </c>
      <c r="S31" s="323">
        <f t="shared" si="14"/>
        <v>0</v>
      </c>
      <c r="T31" s="245"/>
      <c r="U31" s="324">
        <f t="shared" si="15"/>
        <v>0</v>
      </c>
      <c r="V31" s="324">
        <f t="shared" si="16"/>
        <v>0</v>
      </c>
      <c r="W31" s="324">
        <f t="shared" si="3"/>
        <v>0</v>
      </c>
      <c r="X31" s="322">
        <f t="shared" si="17"/>
        <v>0</v>
      </c>
      <c r="Y31" s="323">
        <f t="shared" si="18"/>
        <v>0</v>
      </c>
      <c r="Z31" s="245"/>
      <c r="AA31" s="324">
        <f t="shared" si="19"/>
        <v>0</v>
      </c>
      <c r="AB31" s="324">
        <f t="shared" si="20"/>
        <v>0</v>
      </c>
      <c r="AC31" s="324">
        <f t="shared" si="21"/>
        <v>0</v>
      </c>
      <c r="AD31" s="322">
        <f t="shared" si="22"/>
        <v>0</v>
      </c>
      <c r="AE31" s="323">
        <f t="shared" si="23"/>
        <v>0</v>
      </c>
      <c r="AF31" s="245"/>
      <c r="AG31" s="324">
        <f t="shared" si="24"/>
        <v>0</v>
      </c>
      <c r="AH31" s="324">
        <f t="shared" si="25"/>
        <v>0</v>
      </c>
      <c r="AI31" s="325">
        <f t="shared" si="4"/>
        <v>0</v>
      </c>
      <c r="AJ31" s="272">
        <f t="shared" si="5"/>
        <v>0</v>
      </c>
    </row>
    <row r="32" spans="1:36" outlineLevel="1" x14ac:dyDescent="0.3">
      <c r="A32" s="14" t="s">
        <v>93</v>
      </c>
      <c r="B32" s="17"/>
      <c r="C32" s="1"/>
      <c r="D32" s="456"/>
      <c r="E32" s="2"/>
      <c r="F32" s="322"/>
      <c r="G32" s="323"/>
      <c r="H32" s="25"/>
      <c r="I32" s="324"/>
      <c r="J32" s="324"/>
      <c r="K32" s="324"/>
      <c r="L32" s="322"/>
      <c r="M32" s="323"/>
      <c r="N32" s="25"/>
      <c r="O32" s="324"/>
      <c r="P32" s="324"/>
      <c r="Q32" s="324"/>
      <c r="R32" s="322"/>
      <c r="S32" s="323"/>
      <c r="T32" s="25"/>
      <c r="U32" s="324"/>
      <c r="V32" s="324"/>
      <c r="W32" s="324"/>
      <c r="X32" s="322"/>
      <c r="Y32" s="323"/>
      <c r="Z32" s="25"/>
      <c r="AA32" s="324"/>
      <c r="AB32" s="324"/>
      <c r="AC32" s="324"/>
      <c r="AD32" s="322"/>
      <c r="AE32" s="323"/>
      <c r="AF32" s="25"/>
      <c r="AG32" s="324"/>
      <c r="AH32" s="324"/>
      <c r="AI32" s="325"/>
      <c r="AJ32" s="272"/>
    </row>
    <row r="33" spans="1:36" outlineLevel="1" x14ac:dyDescent="0.3">
      <c r="A33" s="106" t="s">
        <v>243</v>
      </c>
      <c r="B33" s="107"/>
      <c r="C33" s="107" t="s">
        <v>58</v>
      </c>
      <c r="D33" s="317">
        <v>0.1</v>
      </c>
      <c r="E33" s="246">
        <v>0</v>
      </c>
      <c r="F33" s="322">
        <f t="shared" ref="F33:F42" si="28">IF(E33&gt;187000,187000,E33)</f>
        <v>0</v>
      </c>
      <c r="G33" s="323">
        <f t="shared" si="7"/>
        <v>0</v>
      </c>
      <c r="H33" s="245"/>
      <c r="I33" s="324">
        <f t="shared" ref="I33:I42" si="29">$E33*H33</f>
        <v>0</v>
      </c>
      <c r="J33" s="324">
        <v>0</v>
      </c>
      <c r="K33" s="324">
        <v>0</v>
      </c>
      <c r="L33" s="322">
        <f t="shared" si="26"/>
        <v>0</v>
      </c>
      <c r="M33" s="323">
        <f t="shared" si="10"/>
        <v>0</v>
      </c>
      <c r="N33" s="245"/>
      <c r="O33" s="324">
        <f t="shared" ref="O33:O42" si="30">$E33*N33</f>
        <v>0</v>
      </c>
      <c r="P33" s="324">
        <v>0</v>
      </c>
      <c r="Q33" s="324">
        <f t="shared" ref="Q33:Q42" si="31">O33+P33</f>
        <v>0</v>
      </c>
      <c r="R33" s="322">
        <f t="shared" si="13"/>
        <v>0</v>
      </c>
      <c r="S33" s="323">
        <f t="shared" si="14"/>
        <v>0</v>
      </c>
      <c r="T33" s="245"/>
      <c r="U33" s="324">
        <f t="shared" ref="U33:U42" si="32">$E33*T33</f>
        <v>0</v>
      </c>
      <c r="V33" s="324"/>
      <c r="W33" s="324">
        <v>0</v>
      </c>
      <c r="X33" s="322">
        <f t="shared" si="17"/>
        <v>0</v>
      </c>
      <c r="Y33" s="323">
        <f t="shared" si="18"/>
        <v>0</v>
      </c>
      <c r="Z33" s="245"/>
      <c r="AA33" s="324">
        <f t="shared" ref="AA33:AA42" si="33">$E33*Z33</f>
        <v>0</v>
      </c>
      <c r="AB33" s="324"/>
      <c r="AC33" s="324">
        <f t="shared" ref="AC33:AC42" si="34">AA33+AB33</f>
        <v>0</v>
      </c>
      <c r="AD33" s="322">
        <f t="shared" si="22"/>
        <v>0</v>
      </c>
      <c r="AE33" s="323">
        <f t="shared" si="23"/>
        <v>0</v>
      </c>
      <c r="AF33" s="245"/>
      <c r="AG33" s="324">
        <f t="shared" ref="AG33:AG42" si="35">$E33*AF33</f>
        <v>0</v>
      </c>
      <c r="AH33" s="324">
        <f t="shared" si="25"/>
        <v>0</v>
      </c>
      <c r="AI33" s="325">
        <f t="shared" ref="AI33:AI42" si="36">AG33+AH33</f>
        <v>0</v>
      </c>
      <c r="AJ33" s="272">
        <f t="shared" ref="AJ33:AJ43" si="37">K33+Q33+W33+AC33+AI33</f>
        <v>0</v>
      </c>
    </row>
    <row r="34" spans="1:36" outlineLevel="1" x14ac:dyDescent="0.3">
      <c r="A34" s="106"/>
      <c r="B34" s="107"/>
      <c r="C34" s="107" t="s">
        <v>58</v>
      </c>
      <c r="D34" s="317">
        <f t="shared" ref="D34:D42" si="38">LOOKUP(C34,$A$9:$A$12,$B$9:$B$12)</f>
        <v>0</v>
      </c>
      <c r="E34" s="244"/>
      <c r="F34" s="322">
        <f t="shared" si="28"/>
        <v>0</v>
      </c>
      <c r="G34" s="323">
        <f t="shared" si="7"/>
        <v>0</v>
      </c>
      <c r="H34" s="245"/>
      <c r="I34" s="324">
        <f t="shared" si="29"/>
        <v>0</v>
      </c>
      <c r="J34" s="324">
        <f t="shared" si="9"/>
        <v>0</v>
      </c>
      <c r="K34" s="324">
        <f t="shared" ref="K34:K42" si="39">I34+J34</f>
        <v>0</v>
      </c>
      <c r="L34" s="322">
        <f t="shared" si="26"/>
        <v>0</v>
      </c>
      <c r="M34" s="323">
        <f t="shared" si="10"/>
        <v>0</v>
      </c>
      <c r="N34" s="245"/>
      <c r="O34" s="324">
        <f t="shared" si="30"/>
        <v>0</v>
      </c>
      <c r="P34" s="324">
        <f t="shared" si="11"/>
        <v>0</v>
      </c>
      <c r="Q34" s="324">
        <f t="shared" si="31"/>
        <v>0</v>
      </c>
      <c r="R34" s="322">
        <f t="shared" si="13"/>
        <v>0</v>
      </c>
      <c r="S34" s="323">
        <f t="shared" si="14"/>
        <v>0</v>
      </c>
      <c r="T34" s="245"/>
      <c r="U34" s="324">
        <f t="shared" si="32"/>
        <v>0</v>
      </c>
      <c r="V34" s="324">
        <f t="shared" si="16"/>
        <v>0</v>
      </c>
      <c r="W34" s="324">
        <f t="shared" ref="W34:W42" si="40">U34+V34</f>
        <v>0</v>
      </c>
      <c r="X34" s="322">
        <f t="shared" si="17"/>
        <v>0</v>
      </c>
      <c r="Y34" s="323">
        <f t="shared" si="18"/>
        <v>0</v>
      </c>
      <c r="Z34" s="245"/>
      <c r="AA34" s="324">
        <f t="shared" si="33"/>
        <v>0</v>
      </c>
      <c r="AB34" s="324">
        <f t="shared" si="20"/>
        <v>0</v>
      </c>
      <c r="AC34" s="324">
        <f t="shared" si="34"/>
        <v>0</v>
      </c>
      <c r="AD34" s="322">
        <f t="shared" si="22"/>
        <v>0</v>
      </c>
      <c r="AE34" s="323">
        <f t="shared" si="23"/>
        <v>0</v>
      </c>
      <c r="AF34" s="245"/>
      <c r="AG34" s="324">
        <f t="shared" si="35"/>
        <v>0</v>
      </c>
      <c r="AH34" s="324">
        <f t="shared" si="25"/>
        <v>0</v>
      </c>
      <c r="AI34" s="325">
        <f t="shared" si="36"/>
        <v>0</v>
      </c>
      <c r="AJ34" s="272">
        <f t="shared" si="37"/>
        <v>0</v>
      </c>
    </row>
    <row r="35" spans="1:36" hidden="1" outlineLevel="1" x14ac:dyDescent="0.3">
      <c r="A35" s="106"/>
      <c r="B35" s="107"/>
      <c r="C35" s="107" t="s">
        <v>58</v>
      </c>
      <c r="D35" s="317">
        <f t="shared" si="38"/>
        <v>0</v>
      </c>
      <c r="E35" s="244"/>
      <c r="F35" s="322">
        <f t="shared" si="28"/>
        <v>0</v>
      </c>
      <c r="G35" s="323">
        <f t="shared" si="7"/>
        <v>0</v>
      </c>
      <c r="H35" s="245"/>
      <c r="I35" s="324">
        <f t="shared" si="29"/>
        <v>0</v>
      </c>
      <c r="J35" s="324">
        <f t="shared" si="9"/>
        <v>0</v>
      </c>
      <c r="K35" s="324">
        <f t="shared" si="39"/>
        <v>0</v>
      </c>
      <c r="L35" s="322">
        <f t="shared" si="26"/>
        <v>0</v>
      </c>
      <c r="M35" s="323">
        <f t="shared" si="10"/>
        <v>0</v>
      </c>
      <c r="N35" s="245"/>
      <c r="O35" s="324">
        <f t="shared" si="30"/>
        <v>0</v>
      </c>
      <c r="P35" s="324">
        <f t="shared" si="11"/>
        <v>0</v>
      </c>
      <c r="Q35" s="324">
        <f t="shared" si="31"/>
        <v>0</v>
      </c>
      <c r="R35" s="322">
        <f t="shared" si="13"/>
        <v>0</v>
      </c>
      <c r="S35" s="323">
        <f t="shared" si="14"/>
        <v>0</v>
      </c>
      <c r="T35" s="245"/>
      <c r="U35" s="324">
        <f t="shared" si="32"/>
        <v>0</v>
      </c>
      <c r="V35" s="324">
        <f t="shared" si="16"/>
        <v>0</v>
      </c>
      <c r="W35" s="324">
        <f t="shared" si="40"/>
        <v>0</v>
      </c>
      <c r="X35" s="322">
        <f t="shared" si="17"/>
        <v>0</v>
      </c>
      <c r="Y35" s="323">
        <f t="shared" si="18"/>
        <v>0</v>
      </c>
      <c r="Z35" s="245"/>
      <c r="AA35" s="324">
        <f t="shared" si="33"/>
        <v>0</v>
      </c>
      <c r="AB35" s="324">
        <f t="shared" si="20"/>
        <v>0</v>
      </c>
      <c r="AC35" s="324">
        <f t="shared" si="34"/>
        <v>0</v>
      </c>
      <c r="AD35" s="322">
        <f t="shared" si="22"/>
        <v>0</v>
      </c>
      <c r="AE35" s="323">
        <f t="shared" si="23"/>
        <v>0</v>
      </c>
      <c r="AF35" s="245"/>
      <c r="AG35" s="324">
        <f t="shared" si="35"/>
        <v>0</v>
      </c>
      <c r="AH35" s="324">
        <f t="shared" si="25"/>
        <v>0</v>
      </c>
      <c r="AI35" s="325">
        <f t="shared" si="36"/>
        <v>0</v>
      </c>
      <c r="AJ35" s="272">
        <f t="shared" si="37"/>
        <v>0</v>
      </c>
    </row>
    <row r="36" spans="1:36" hidden="1" outlineLevel="1" x14ac:dyDescent="0.3">
      <c r="A36" s="106"/>
      <c r="B36" s="107"/>
      <c r="C36" s="107" t="s">
        <v>58</v>
      </c>
      <c r="D36" s="317">
        <f t="shared" si="38"/>
        <v>0</v>
      </c>
      <c r="E36" s="244"/>
      <c r="F36" s="322">
        <f t="shared" si="28"/>
        <v>0</v>
      </c>
      <c r="G36" s="323">
        <f t="shared" si="7"/>
        <v>0</v>
      </c>
      <c r="H36" s="245"/>
      <c r="I36" s="324">
        <f t="shared" si="29"/>
        <v>0</v>
      </c>
      <c r="J36" s="324">
        <f t="shared" si="9"/>
        <v>0</v>
      </c>
      <c r="K36" s="324">
        <f t="shared" si="39"/>
        <v>0</v>
      </c>
      <c r="L36" s="322">
        <f t="shared" si="26"/>
        <v>0</v>
      </c>
      <c r="M36" s="323">
        <f t="shared" si="10"/>
        <v>0</v>
      </c>
      <c r="N36" s="245"/>
      <c r="O36" s="324">
        <f t="shared" si="30"/>
        <v>0</v>
      </c>
      <c r="P36" s="324">
        <f t="shared" si="11"/>
        <v>0</v>
      </c>
      <c r="Q36" s="324">
        <f t="shared" si="31"/>
        <v>0</v>
      </c>
      <c r="R36" s="322">
        <f t="shared" si="13"/>
        <v>0</v>
      </c>
      <c r="S36" s="323">
        <f t="shared" si="14"/>
        <v>0</v>
      </c>
      <c r="T36" s="245"/>
      <c r="U36" s="324">
        <f t="shared" si="32"/>
        <v>0</v>
      </c>
      <c r="V36" s="324">
        <f t="shared" si="16"/>
        <v>0</v>
      </c>
      <c r="W36" s="324">
        <f t="shared" si="40"/>
        <v>0</v>
      </c>
      <c r="X36" s="322">
        <f t="shared" si="17"/>
        <v>0</v>
      </c>
      <c r="Y36" s="323">
        <f t="shared" si="18"/>
        <v>0</v>
      </c>
      <c r="Z36" s="245"/>
      <c r="AA36" s="324">
        <f t="shared" si="33"/>
        <v>0</v>
      </c>
      <c r="AB36" s="324">
        <f t="shared" si="20"/>
        <v>0</v>
      </c>
      <c r="AC36" s="324">
        <f t="shared" si="34"/>
        <v>0</v>
      </c>
      <c r="AD36" s="322">
        <f t="shared" si="22"/>
        <v>0</v>
      </c>
      <c r="AE36" s="323">
        <f t="shared" si="23"/>
        <v>0</v>
      </c>
      <c r="AF36" s="245"/>
      <c r="AG36" s="324">
        <f t="shared" si="35"/>
        <v>0</v>
      </c>
      <c r="AH36" s="324">
        <f t="shared" si="25"/>
        <v>0</v>
      </c>
      <c r="AI36" s="325">
        <f t="shared" si="36"/>
        <v>0</v>
      </c>
      <c r="AJ36" s="272">
        <f t="shared" si="37"/>
        <v>0</v>
      </c>
    </row>
    <row r="37" spans="1:36" hidden="1" outlineLevel="1" x14ac:dyDescent="0.3">
      <c r="A37" s="106"/>
      <c r="B37" s="107"/>
      <c r="C37" s="107" t="s">
        <v>58</v>
      </c>
      <c r="D37" s="317">
        <f t="shared" si="38"/>
        <v>0</v>
      </c>
      <c r="E37" s="244"/>
      <c r="F37" s="322">
        <f t="shared" si="28"/>
        <v>0</v>
      </c>
      <c r="G37" s="323">
        <f t="shared" si="7"/>
        <v>0</v>
      </c>
      <c r="H37" s="245"/>
      <c r="I37" s="324">
        <f t="shared" si="29"/>
        <v>0</v>
      </c>
      <c r="J37" s="324">
        <f t="shared" si="9"/>
        <v>0</v>
      </c>
      <c r="K37" s="324">
        <f t="shared" si="39"/>
        <v>0</v>
      </c>
      <c r="L37" s="322">
        <f t="shared" si="26"/>
        <v>0</v>
      </c>
      <c r="M37" s="323">
        <f t="shared" si="10"/>
        <v>0</v>
      </c>
      <c r="N37" s="245"/>
      <c r="O37" s="324">
        <f t="shared" si="30"/>
        <v>0</v>
      </c>
      <c r="P37" s="324">
        <f t="shared" si="11"/>
        <v>0</v>
      </c>
      <c r="Q37" s="324">
        <f t="shared" si="31"/>
        <v>0</v>
      </c>
      <c r="R37" s="322">
        <f t="shared" si="13"/>
        <v>0</v>
      </c>
      <c r="S37" s="323">
        <f t="shared" si="14"/>
        <v>0</v>
      </c>
      <c r="T37" s="245"/>
      <c r="U37" s="324">
        <f t="shared" si="32"/>
        <v>0</v>
      </c>
      <c r="V37" s="324">
        <f t="shared" si="16"/>
        <v>0</v>
      </c>
      <c r="W37" s="324">
        <f t="shared" si="40"/>
        <v>0</v>
      </c>
      <c r="X37" s="322">
        <f t="shared" si="17"/>
        <v>0</v>
      </c>
      <c r="Y37" s="323">
        <f t="shared" si="18"/>
        <v>0</v>
      </c>
      <c r="Z37" s="245"/>
      <c r="AA37" s="324">
        <f t="shared" si="33"/>
        <v>0</v>
      </c>
      <c r="AB37" s="324">
        <f t="shared" si="20"/>
        <v>0</v>
      </c>
      <c r="AC37" s="324">
        <f t="shared" si="34"/>
        <v>0</v>
      </c>
      <c r="AD37" s="322">
        <f t="shared" si="22"/>
        <v>0</v>
      </c>
      <c r="AE37" s="323">
        <f t="shared" si="23"/>
        <v>0</v>
      </c>
      <c r="AF37" s="245"/>
      <c r="AG37" s="324">
        <f t="shared" si="35"/>
        <v>0</v>
      </c>
      <c r="AH37" s="324">
        <f t="shared" si="25"/>
        <v>0</v>
      </c>
      <c r="AI37" s="325">
        <f t="shared" si="36"/>
        <v>0</v>
      </c>
      <c r="AJ37" s="272">
        <f t="shared" si="37"/>
        <v>0</v>
      </c>
    </row>
    <row r="38" spans="1:36" hidden="1" outlineLevel="1" x14ac:dyDescent="0.3">
      <c r="A38" s="106"/>
      <c r="B38" s="107"/>
      <c r="C38" s="107" t="s">
        <v>58</v>
      </c>
      <c r="D38" s="317">
        <f t="shared" si="38"/>
        <v>0</v>
      </c>
      <c r="E38" s="244"/>
      <c r="F38" s="322">
        <f t="shared" si="28"/>
        <v>0</v>
      </c>
      <c r="G38" s="323">
        <f t="shared" si="7"/>
        <v>0</v>
      </c>
      <c r="H38" s="245"/>
      <c r="I38" s="324">
        <f t="shared" si="29"/>
        <v>0</v>
      </c>
      <c r="J38" s="324">
        <f t="shared" si="9"/>
        <v>0</v>
      </c>
      <c r="K38" s="324">
        <f t="shared" si="39"/>
        <v>0</v>
      </c>
      <c r="L38" s="322">
        <f t="shared" si="26"/>
        <v>0</v>
      </c>
      <c r="M38" s="323">
        <f t="shared" si="10"/>
        <v>0</v>
      </c>
      <c r="N38" s="245"/>
      <c r="O38" s="324">
        <f t="shared" si="30"/>
        <v>0</v>
      </c>
      <c r="P38" s="324">
        <f t="shared" si="11"/>
        <v>0</v>
      </c>
      <c r="Q38" s="324">
        <f t="shared" si="31"/>
        <v>0</v>
      </c>
      <c r="R38" s="322">
        <f t="shared" si="13"/>
        <v>0</v>
      </c>
      <c r="S38" s="323">
        <f t="shared" si="14"/>
        <v>0</v>
      </c>
      <c r="T38" s="245"/>
      <c r="U38" s="324">
        <f t="shared" si="32"/>
        <v>0</v>
      </c>
      <c r="V38" s="324">
        <f t="shared" si="16"/>
        <v>0</v>
      </c>
      <c r="W38" s="324">
        <f t="shared" si="40"/>
        <v>0</v>
      </c>
      <c r="X38" s="322">
        <f t="shared" si="17"/>
        <v>0</v>
      </c>
      <c r="Y38" s="323">
        <f t="shared" si="18"/>
        <v>0</v>
      </c>
      <c r="Z38" s="245"/>
      <c r="AA38" s="324">
        <f t="shared" si="33"/>
        <v>0</v>
      </c>
      <c r="AB38" s="324">
        <f t="shared" si="20"/>
        <v>0</v>
      </c>
      <c r="AC38" s="324">
        <f t="shared" si="34"/>
        <v>0</v>
      </c>
      <c r="AD38" s="322">
        <f t="shared" si="22"/>
        <v>0</v>
      </c>
      <c r="AE38" s="323">
        <f t="shared" si="23"/>
        <v>0</v>
      </c>
      <c r="AF38" s="245"/>
      <c r="AG38" s="324">
        <f t="shared" si="35"/>
        <v>0</v>
      </c>
      <c r="AH38" s="324">
        <f t="shared" si="25"/>
        <v>0</v>
      </c>
      <c r="AI38" s="325">
        <f t="shared" si="36"/>
        <v>0</v>
      </c>
      <c r="AJ38" s="272">
        <f t="shared" si="37"/>
        <v>0</v>
      </c>
    </row>
    <row r="39" spans="1:36" hidden="1" outlineLevel="1" x14ac:dyDescent="0.3">
      <c r="A39" s="106"/>
      <c r="B39" s="107"/>
      <c r="C39" s="107" t="s">
        <v>58</v>
      </c>
      <c r="D39" s="317">
        <f t="shared" si="38"/>
        <v>0</v>
      </c>
      <c r="E39" s="244"/>
      <c r="F39" s="322">
        <f t="shared" si="28"/>
        <v>0</v>
      </c>
      <c r="G39" s="323">
        <f t="shared" si="7"/>
        <v>0</v>
      </c>
      <c r="H39" s="245"/>
      <c r="I39" s="324">
        <f t="shared" si="29"/>
        <v>0</v>
      </c>
      <c r="J39" s="324">
        <f t="shared" si="9"/>
        <v>0</v>
      </c>
      <c r="K39" s="324">
        <f t="shared" si="39"/>
        <v>0</v>
      </c>
      <c r="L39" s="322">
        <f t="shared" si="26"/>
        <v>0</v>
      </c>
      <c r="M39" s="323">
        <f t="shared" si="10"/>
        <v>0</v>
      </c>
      <c r="N39" s="245"/>
      <c r="O39" s="324">
        <f t="shared" si="30"/>
        <v>0</v>
      </c>
      <c r="P39" s="324">
        <f t="shared" si="11"/>
        <v>0</v>
      </c>
      <c r="Q39" s="324">
        <f t="shared" si="31"/>
        <v>0</v>
      </c>
      <c r="R39" s="322">
        <f t="shared" si="13"/>
        <v>0</v>
      </c>
      <c r="S39" s="323">
        <f t="shared" si="14"/>
        <v>0</v>
      </c>
      <c r="T39" s="245"/>
      <c r="U39" s="324">
        <f t="shared" si="32"/>
        <v>0</v>
      </c>
      <c r="V39" s="324">
        <f t="shared" si="16"/>
        <v>0</v>
      </c>
      <c r="W39" s="324">
        <f t="shared" si="40"/>
        <v>0</v>
      </c>
      <c r="X39" s="322">
        <f t="shared" si="17"/>
        <v>0</v>
      </c>
      <c r="Y39" s="323">
        <f t="shared" si="18"/>
        <v>0</v>
      </c>
      <c r="Z39" s="245"/>
      <c r="AA39" s="324">
        <f t="shared" si="33"/>
        <v>0</v>
      </c>
      <c r="AB39" s="324">
        <f t="shared" si="20"/>
        <v>0</v>
      </c>
      <c r="AC39" s="324">
        <f t="shared" si="34"/>
        <v>0</v>
      </c>
      <c r="AD39" s="322">
        <f t="shared" si="22"/>
        <v>0</v>
      </c>
      <c r="AE39" s="323">
        <f t="shared" si="23"/>
        <v>0</v>
      </c>
      <c r="AF39" s="245"/>
      <c r="AG39" s="324">
        <f t="shared" si="35"/>
        <v>0</v>
      </c>
      <c r="AH39" s="324">
        <f t="shared" si="25"/>
        <v>0</v>
      </c>
      <c r="AI39" s="325">
        <f t="shared" si="36"/>
        <v>0</v>
      </c>
      <c r="AJ39" s="272">
        <f t="shared" si="37"/>
        <v>0</v>
      </c>
    </row>
    <row r="40" spans="1:36" hidden="1" outlineLevel="1" x14ac:dyDescent="0.3">
      <c r="A40" s="106"/>
      <c r="B40" s="107"/>
      <c r="C40" s="107" t="s">
        <v>58</v>
      </c>
      <c r="D40" s="317">
        <f t="shared" si="38"/>
        <v>0</v>
      </c>
      <c r="E40" s="244"/>
      <c r="F40" s="322">
        <f t="shared" si="28"/>
        <v>0</v>
      </c>
      <c r="G40" s="323">
        <f t="shared" si="7"/>
        <v>0</v>
      </c>
      <c r="H40" s="245"/>
      <c r="I40" s="324">
        <f t="shared" si="29"/>
        <v>0</v>
      </c>
      <c r="J40" s="324">
        <f t="shared" si="9"/>
        <v>0</v>
      </c>
      <c r="K40" s="324">
        <f t="shared" si="39"/>
        <v>0</v>
      </c>
      <c r="L40" s="322">
        <f t="shared" si="26"/>
        <v>0</v>
      </c>
      <c r="M40" s="323">
        <f t="shared" si="10"/>
        <v>0</v>
      </c>
      <c r="N40" s="245"/>
      <c r="O40" s="324">
        <f t="shared" si="30"/>
        <v>0</v>
      </c>
      <c r="P40" s="324">
        <f t="shared" si="11"/>
        <v>0</v>
      </c>
      <c r="Q40" s="324">
        <f t="shared" si="31"/>
        <v>0</v>
      </c>
      <c r="R40" s="322">
        <f t="shared" si="13"/>
        <v>0</v>
      </c>
      <c r="S40" s="323">
        <f t="shared" si="14"/>
        <v>0</v>
      </c>
      <c r="T40" s="245"/>
      <c r="U40" s="324">
        <f t="shared" si="32"/>
        <v>0</v>
      </c>
      <c r="V40" s="324">
        <f t="shared" si="16"/>
        <v>0</v>
      </c>
      <c r="W40" s="324">
        <f t="shared" si="40"/>
        <v>0</v>
      </c>
      <c r="X40" s="322">
        <f t="shared" si="17"/>
        <v>0</v>
      </c>
      <c r="Y40" s="323">
        <f t="shared" si="18"/>
        <v>0</v>
      </c>
      <c r="Z40" s="245"/>
      <c r="AA40" s="324">
        <f t="shared" si="33"/>
        <v>0</v>
      </c>
      <c r="AB40" s="324">
        <f t="shared" si="20"/>
        <v>0</v>
      </c>
      <c r="AC40" s="324">
        <f t="shared" si="34"/>
        <v>0</v>
      </c>
      <c r="AD40" s="322">
        <f t="shared" si="22"/>
        <v>0</v>
      </c>
      <c r="AE40" s="323">
        <f t="shared" si="23"/>
        <v>0</v>
      </c>
      <c r="AF40" s="245"/>
      <c r="AG40" s="324">
        <f t="shared" si="35"/>
        <v>0</v>
      </c>
      <c r="AH40" s="324">
        <f t="shared" si="25"/>
        <v>0</v>
      </c>
      <c r="AI40" s="325">
        <f t="shared" si="36"/>
        <v>0</v>
      </c>
      <c r="AJ40" s="272">
        <f t="shared" si="37"/>
        <v>0</v>
      </c>
    </row>
    <row r="41" spans="1:36" hidden="1" outlineLevel="1" x14ac:dyDescent="0.3">
      <c r="A41" s="106"/>
      <c r="B41" s="107"/>
      <c r="C41" s="107" t="s">
        <v>58</v>
      </c>
      <c r="D41" s="317">
        <f t="shared" si="38"/>
        <v>0</v>
      </c>
      <c r="E41" s="244"/>
      <c r="F41" s="322">
        <f t="shared" si="28"/>
        <v>0</v>
      </c>
      <c r="G41" s="323">
        <f t="shared" si="7"/>
        <v>0</v>
      </c>
      <c r="H41" s="245"/>
      <c r="I41" s="324">
        <f t="shared" si="29"/>
        <v>0</v>
      </c>
      <c r="J41" s="324">
        <f t="shared" si="9"/>
        <v>0</v>
      </c>
      <c r="K41" s="324">
        <f t="shared" si="39"/>
        <v>0</v>
      </c>
      <c r="L41" s="322">
        <f t="shared" si="26"/>
        <v>0</v>
      </c>
      <c r="M41" s="323">
        <f t="shared" si="10"/>
        <v>0</v>
      </c>
      <c r="N41" s="245"/>
      <c r="O41" s="324">
        <f t="shared" si="30"/>
        <v>0</v>
      </c>
      <c r="P41" s="324">
        <f t="shared" si="11"/>
        <v>0</v>
      </c>
      <c r="Q41" s="324">
        <f t="shared" si="31"/>
        <v>0</v>
      </c>
      <c r="R41" s="322">
        <f t="shared" si="13"/>
        <v>0</v>
      </c>
      <c r="S41" s="323">
        <f t="shared" si="14"/>
        <v>0</v>
      </c>
      <c r="T41" s="245"/>
      <c r="U41" s="324">
        <f t="shared" si="32"/>
        <v>0</v>
      </c>
      <c r="V41" s="324">
        <f t="shared" si="16"/>
        <v>0</v>
      </c>
      <c r="W41" s="324">
        <f t="shared" si="40"/>
        <v>0</v>
      </c>
      <c r="X41" s="322">
        <f t="shared" si="17"/>
        <v>0</v>
      </c>
      <c r="Y41" s="323">
        <f t="shared" si="18"/>
        <v>0</v>
      </c>
      <c r="Z41" s="245"/>
      <c r="AA41" s="324">
        <f t="shared" si="33"/>
        <v>0</v>
      </c>
      <c r="AB41" s="324">
        <f t="shared" si="20"/>
        <v>0</v>
      </c>
      <c r="AC41" s="324">
        <f t="shared" si="34"/>
        <v>0</v>
      </c>
      <c r="AD41" s="322">
        <f t="shared" si="22"/>
        <v>0</v>
      </c>
      <c r="AE41" s="323">
        <f t="shared" si="23"/>
        <v>0</v>
      </c>
      <c r="AF41" s="245"/>
      <c r="AG41" s="324">
        <f t="shared" si="35"/>
        <v>0</v>
      </c>
      <c r="AH41" s="324">
        <f t="shared" si="25"/>
        <v>0</v>
      </c>
      <c r="AI41" s="325">
        <f t="shared" si="36"/>
        <v>0</v>
      </c>
      <c r="AJ41" s="272">
        <f t="shared" si="37"/>
        <v>0</v>
      </c>
    </row>
    <row r="42" spans="1:36" hidden="1" outlineLevel="1" x14ac:dyDescent="0.3">
      <c r="A42" s="106"/>
      <c r="B42" s="107"/>
      <c r="C42" s="107" t="s">
        <v>58</v>
      </c>
      <c r="D42" s="426">
        <f t="shared" si="38"/>
        <v>0</v>
      </c>
      <c r="E42" s="244"/>
      <c r="F42" s="357">
        <f t="shared" si="28"/>
        <v>0</v>
      </c>
      <c r="G42" s="379">
        <f t="shared" si="7"/>
        <v>0</v>
      </c>
      <c r="H42" s="245"/>
      <c r="I42" s="358">
        <f t="shared" si="29"/>
        <v>0</v>
      </c>
      <c r="J42" s="358">
        <f t="shared" si="9"/>
        <v>0</v>
      </c>
      <c r="K42" s="358">
        <f t="shared" si="39"/>
        <v>0</v>
      </c>
      <c r="L42" s="357">
        <f t="shared" si="26"/>
        <v>0</v>
      </c>
      <c r="M42" s="379">
        <f t="shared" si="10"/>
        <v>0</v>
      </c>
      <c r="N42" s="245"/>
      <c r="O42" s="358">
        <f t="shared" si="30"/>
        <v>0</v>
      </c>
      <c r="P42" s="358">
        <f t="shared" si="11"/>
        <v>0</v>
      </c>
      <c r="Q42" s="358">
        <f t="shared" si="31"/>
        <v>0</v>
      </c>
      <c r="R42" s="357">
        <f t="shared" si="13"/>
        <v>0</v>
      </c>
      <c r="S42" s="379">
        <f t="shared" si="14"/>
        <v>0</v>
      </c>
      <c r="T42" s="245"/>
      <c r="U42" s="358">
        <f t="shared" si="32"/>
        <v>0</v>
      </c>
      <c r="V42" s="358">
        <f t="shared" si="16"/>
        <v>0</v>
      </c>
      <c r="W42" s="358">
        <f t="shared" si="40"/>
        <v>0</v>
      </c>
      <c r="X42" s="357">
        <f t="shared" si="17"/>
        <v>0</v>
      </c>
      <c r="Y42" s="379">
        <f t="shared" si="18"/>
        <v>0</v>
      </c>
      <c r="Z42" s="245"/>
      <c r="AA42" s="358">
        <f t="shared" si="33"/>
        <v>0</v>
      </c>
      <c r="AB42" s="358">
        <f t="shared" si="20"/>
        <v>0</v>
      </c>
      <c r="AC42" s="358">
        <f t="shared" si="34"/>
        <v>0</v>
      </c>
      <c r="AD42" s="357">
        <f t="shared" si="22"/>
        <v>0</v>
      </c>
      <c r="AE42" s="379">
        <f t="shared" si="23"/>
        <v>0</v>
      </c>
      <c r="AF42" s="245"/>
      <c r="AG42" s="358">
        <f t="shared" si="35"/>
        <v>0</v>
      </c>
      <c r="AH42" s="358">
        <f t="shared" si="25"/>
        <v>0</v>
      </c>
      <c r="AI42" s="359">
        <f t="shared" si="36"/>
        <v>0</v>
      </c>
      <c r="AJ42" s="272">
        <f t="shared" si="37"/>
        <v>0</v>
      </c>
    </row>
    <row r="43" spans="1:36" s="5" customFormat="1" ht="15" thickBot="1" x14ac:dyDescent="0.35">
      <c r="A43" s="301" t="s">
        <v>111</v>
      </c>
      <c r="B43" s="294"/>
      <c r="C43" s="294"/>
      <c r="D43" s="294"/>
      <c r="E43" s="299"/>
      <c r="F43" s="295"/>
      <c r="G43" s="296"/>
      <c r="H43" s="297"/>
      <c r="I43" s="298">
        <f>SUM(I21:I42)</f>
        <v>0</v>
      </c>
      <c r="J43" s="298">
        <f>SUM(J21:J42)</f>
        <v>0</v>
      </c>
      <c r="K43" s="299">
        <f>SUM(K21:K42)</f>
        <v>0</v>
      </c>
      <c r="L43" s="295"/>
      <c r="M43" s="296"/>
      <c r="N43" s="297"/>
      <c r="O43" s="298">
        <f>SUM(O21:O42)</f>
        <v>22828</v>
      </c>
      <c r="P43" s="298">
        <f>SUM(P21:P42)</f>
        <v>7304.96</v>
      </c>
      <c r="Q43" s="299">
        <v>0</v>
      </c>
      <c r="R43" s="295"/>
      <c r="S43" s="296"/>
      <c r="T43" s="297"/>
      <c r="U43" s="298">
        <f>SUM(U21:U42)</f>
        <v>0</v>
      </c>
      <c r="V43" s="298">
        <f>SUM(V21:V42)</f>
        <v>0</v>
      </c>
      <c r="W43" s="299">
        <v>0</v>
      </c>
      <c r="X43" s="295"/>
      <c r="Y43" s="296"/>
      <c r="Z43" s="297"/>
      <c r="AA43" s="298">
        <f>SUM(AA21:AA42)</f>
        <v>0</v>
      </c>
      <c r="AB43" s="298" t="e">
        <f>SUM(AB21:AB42)</f>
        <v>#VALUE!</v>
      </c>
      <c r="AC43" s="299">
        <v>0</v>
      </c>
      <c r="AD43" s="295"/>
      <c r="AE43" s="296"/>
      <c r="AF43" s="297"/>
      <c r="AG43" s="298">
        <f>SUM(AG21:AG42)</f>
        <v>0</v>
      </c>
      <c r="AH43" s="298">
        <f>SUM(AH21:AH42)</f>
        <v>0</v>
      </c>
      <c r="AI43" s="300">
        <f>SUM(AI21:AI42)</f>
        <v>0</v>
      </c>
      <c r="AJ43" s="274">
        <f t="shared" si="37"/>
        <v>0</v>
      </c>
    </row>
    <row r="44" spans="1:36" hidden="1" outlineLevel="1" x14ac:dyDescent="0.3">
      <c r="A44" s="371" t="s">
        <v>112</v>
      </c>
      <c r="B44" s="372"/>
      <c r="C44" s="372"/>
      <c r="D44" s="372"/>
      <c r="E44" s="365"/>
      <c r="F44" s="363"/>
      <c r="G44" s="364"/>
      <c r="H44" s="438"/>
      <c r="I44" s="365"/>
      <c r="J44" s="365"/>
      <c r="K44" s="2"/>
      <c r="L44" s="363"/>
      <c r="M44" s="364"/>
      <c r="N44" s="438"/>
      <c r="O44" s="365"/>
      <c r="P44" s="365"/>
      <c r="Q44" s="2"/>
      <c r="R44" s="74"/>
      <c r="S44" s="364"/>
      <c r="T44" s="438"/>
      <c r="U44" s="365"/>
      <c r="V44" s="365"/>
      <c r="W44" s="2"/>
      <c r="X44" s="74"/>
      <c r="Y44" s="364"/>
      <c r="Z44" s="438"/>
      <c r="AA44" s="365"/>
      <c r="AB44" s="365"/>
      <c r="AC44" s="2"/>
      <c r="AD44" s="74"/>
      <c r="AE44" s="364"/>
      <c r="AF44" s="438"/>
      <c r="AG44" s="365"/>
      <c r="AH44" s="365"/>
      <c r="AI44" s="3"/>
      <c r="AJ44" s="271"/>
    </row>
    <row r="45" spans="1:36" hidden="1" outlineLevel="1" x14ac:dyDescent="0.3">
      <c r="A45" s="340" t="s">
        <v>113</v>
      </c>
      <c r="B45" s="341"/>
      <c r="C45" s="341"/>
      <c r="D45" s="341"/>
      <c r="E45" s="324"/>
      <c r="F45" s="322"/>
      <c r="G45" s="323"/>
      <c r="H45" s="436"/>
      <c r="I45" s="324"/>
      <c r="J45" s="324"/>
      <c r="K45" s="244"/>
      <c r="L45" s="322"/>
      <c r="M45" s="323"/>
      <c r="N45" s="436"/>
      <c r="O45" s="324"/>
      <c r="P45" s="324"/>
      <c r="Q45" s="244"/>
      <c r="R45" s="247"/>
      <c r="S45" s="323"/>
      <c r="T45" s="436"/>
      <c r="U45" s="324"/>
      <c r="V45" s="324"/>
      <c r="W45" s="244"/>
      <c r="X45" s="247"/>
      <c r="Y45" s="323"/>
      <c r="Z45" s="436"/>
      <c r="AA45" s="324"/>
      <c r="AB45" s="324"/>
      <c r="AC45" s="244"/>
      <c r="AD45" s="247"/>
      <c r="AE45" s="323"/>
      <c r="AF45" s="436"/>
      <c r="AG45" s="324"/>
      <c r="AH45" s="324"/>
      <c r="AI45" s="248"/>
      <c r="AJ45" s="272">
        <f>K45+Q45+W45+AC45+AI45</f>
        <v>0</v>
      </c>
    </row>
    <row r="46" spans="1:36" hidden="1" outlineLevel="1" x14ac:dyDescent="0.3">
      <c r="A46" s="377"/>
      <c r="B46" s="378"/>
      <c r="C46" s="378"/>
      <c r="D46" s="378"/>
      <c r="E46" s="358"/>
      <c r="F46" s="357"/>
      <c r="G46" s="379"/>
      <c r="H46" s="437"/>
      <c r="I46" s="358"/>
      <c r="J46" s="358"/>
      <c r="K46" s="244"/>
      <c r="L46" s="357"/>
      <c r="M46" s="379"/>
      <c r="N46" s="437"/>
      <c r="O46" s="358"/>
      <c r="P46" s="358"/>
      <c r="Q46" s="244"/>
      <c r="R46" s="247"/>
      <c r="S46" s="379"/>
      <c r="T46" s="437"/>
      <c r="U46" s="358"/>
      <c r="V46" s="358"/>
      <c r="W46" s="244"/>
      <c r="X46" s="247"/>
      <c r="Y46" s="379"/>
      <c r="Z46" s="437"/>
      <c r="AA46" s="358"/>
      <c r="AB46" s="358"/>
      <c r="AC46" s="244"/>
      <c r="AD46" s="247"/>
      <c r="AE46" s="379"/>
      <c r="AF46" s="437"/>
      <c r="AG46" s="358"/>
      <c r="AH46" s="358"/>
      <c r="AI46" s="248"/>
      <c r="AJ46" s="272">
        <f>K46+Q46+W46+AC46+AI46</f>
        <v>0</v>
      </c>
    </row>
    <row r="47" spans="1:36" s="5" customFormat="1" ht="15" collapsed="1" thickBot="1" x14ac:dyDescent="0.35">
      <c r="A47" s="302" t="s">
        <v>115</v>
      </c>
      <c r="B47" s="303"/>
      <c r="C47" s="303"/>
      <c r="D47" s="303"/>
      <c r="E47" s="299"/>
      <c r="F47" s="295"/>
      <c r="G47" s="296"/>
      <c r="H47" s="297"/>
      <c r="I47" s="299"/>
      <c r="J47" s="299"/>
      <c r="K47" s="299">
        <f>SUM(K45:K46)</f>
        <v>0</v>
      </c>
      <c r="L47" s="295"/>
      <c r="M47" s="296"/>
      <c r="N47" s="297"/>
      <c r="O47" s="299"/>
      <c r="P47" s="299"/>
      <c r="Q47" s="299">
        <f>SUM(Q45:Q46)</f>
        <v>0</v>
      </c>
      <c r="R47" s="295"/>
      <c r="S47" s="296"/>
      <c r="T47" s="297"/>
      <c r="U47" s="299"/>
      <c r="V47" s="299"/>
      <c r="W47" s="299">
        <f>SUM(W45:W46)</f>
        <v>0</v>
      </c>
      <c r="X47" s="295"/>
      <c r="Y47" s="296"/>
      <c r="Z47" s="297"/>
      <c r="AA47" s="299"/>
      <c r="AB47" s="299"/>
      <c r="AC47" s="299">
        <f>SUM(AC45:AC46)</f>
        <v>0</v>
      </c>
      <c r="AD47" s="295"/>
      <c r="AE47" s="296"/>
      <c r="AF47" s="297"/>
      <c r="AG47" s="299"/>
      <c r="AH47" s="299"/>
      <c r="AI47" s="300">
        <f>SUM(AI45:AI46)</f>
        <v>0</v>
      </c>
      <c r="AJ47" s="274">
        <f>K47+Q47+W47+AC47+AI47</f>
        <v>0</v>
      </c>
    </row>
    <row r="48" spans="1:36" outlineLevel="1" x14ac:dyDescent="0.3">
      <c r="A48" s="371" t="s">
        <v>116</v>
      </c>
      <c r="B48" s="372"/>
      <c r="C48" s="372"/>
      <c r="D48" s="372"/>
      <c r="E48" s="365"/>
      <c r="F48" s="363"/>
      <c r="G48" s="364"/>
      <c r="H48" s="438"/>
      <c r="I48" s="365"/>
      <c r="J48" s="365"/>
      <c r="K48" s="2"/>
      <c r="L48" s="363"/>
      <c r="M48" s="364"/>
      <c r="N48" s="438"/>
      <c r="O48" s="365"/>
      <c r="P48" s="365"/>
      <c r="Q48" s="2"/>
      <c r="R48" s="74"/>
      <c r="S48" s="364"/>
      <c r="T48" s="438"/>
      <c r="U48" s="365"/>
      <c r="V48" s="365"/>
      <c r="W48" s="2"/>
      <c r="X48" s="74"/>
      <c r="Y48" s="364"/>
      <c r="Z48" s="438"/>
      <c r="AA48" s="365"/>
      <c r="AB48" s="365"/>
      <c r="AC48" s="2"/>
      <c r="AD48" s="74"/>
      <c r="AE48" s="364"/>
      <c r="AF48" s="438"/>
      <c r="AG48" s="365"/>
      <c r="AH48" s="365"/>
      <c r="AI48" s="3"/>
      <c r="AJ48" s="271"/>
    </row>
    <row r="49" spans="1:36" outlineLevel="1" x14ac:dyDescent="0.3">
      <c r="A49" s="340" t="s">
        <v>117</v>
      </c>
      <c r="B49" s="341"/>
      <c r="C49" s="341"/>
      <c r="D49" s="341"/>
      <c r="E49" s="324"/>
      <c r="F49" s="322" t="s">
        <v>244</v>
      </c>
      <c r="G49" s="323"/>
      <c r="H49" s="436"/>
      <c r="I49" s="324"/>
      <c r="J49" s="324"/>
      <c r="K49" s="244"/>
      <c r="L49" s="322" t="s">
        <v>245</v>
      </c>
      <c r="M49" s="323"/>
      <c r="N49" s="436"/>
      <c r="O49" s="324"/>
      <c r="P49" s="324"/>
      <c r="Q49" s="244"/>
      <c r="R49" s="247"/>
      <c r="S49" s="323"/>
      <c r="T49" s="436"/>
      <c r="U49" s="324"/>
      <c r="V49" s="324"/>
      <c r="W49" s="244"/>
      <c r="X49" s="247"/>
      <c r="Y49" s="323"/>
      <c r="Z49" s="436"/>
      <c r="AA49" s="324"/>
      <c r="AB49" s="324"/>
      <c r="AC49" s="244"/>
      <c r="AD49" s="247"/>
      <c r="AE49" s="323"/>
      <c r="AF49" s="436"/>
      <c r="AG49" s="324"/>
      <c r="AH49" s="324"/>
      <c r="AI49" s="248"/>
      <c r="AJ49" s="272">
        <f>K49+Q49+W49+AC49+AI49</f>
        <v>0</v>
      </c>
    </row>
    <row r="50" spans="1:36" outlineLevel="1" x14ac:dyDescent="0.3">
      <c r="A50" s="377" t="s">
        <v>122</v>
      </c>
      <c r="B50" s="378"/>
      <c r="C50" s="378"/>
      <c r="D50" s="378"/>
      <c r="E50" s="358"/>
      <c r="F50" s="357"/>
      <c r="G50" s="379"/>
      <c r="H50" s="437"/>
      <c r="I50" s="358"/>
      <c r="J50" s="358"/>
      <c r="K50" s="244"/>
      <c r="L50" s="357"/>
      <c r="M50" s="379"/>
      <c r="N50" s="437"/>
      <c r="O50" s="358"/>
      <c r="P50" s="358"/>
      <c r="Q50" s="244"/>
      <c r="R50" s="247"/>
      <c r="S50" s="379"/>
      <c r="T50" s="437"/>
      <c r="U50" s="358"/>
      <c r="V50" s="358"/>
      <c r="W50" s="244"/>
      <c r="X50" s="247"/>
      <c r="Y50" s="379"/>
      <c r="Z50" s="437"/>
      <c r="AA50" s="358"/>
      <c r="AB50" s="358"/>
      <c r="AC50" s="244"/>
      <c r="AD50" s="247"/>
      <c r="AE50" s="379"/>
      <c r="AF50" s="437"/>
      <c r="AG50" s="358"/>
      <c r="AH50" s="358"/>
      <c r="AI50" s="248"/>
      <c r="AJ50" s="272">
        <f>K50+Q50+W50+AC50+AI50</f>
        <v>0</v>
      </c>
    </row>
    <row r="51" spans="1:36" s="5" customFormat="1" ht="15" thickBot="1" x14ac:dyDescent="0.35">
      <c r="A51" s="302" t="s">
        <v>123</v>
      </c>
      <c r="B51" s="303"/>
      <c r="C51" s="303"/>
      <c r="D51" s="303"/>
      <c r="E51" s="299"/>
      <c r="F51" s="295"/>
      <c r="G51" s="296"/>
      <c r="H51" s="297"/>
      <c r="I51" s="299"/>
      <c r="J51" s="299"/>
      <c r="K51" s="299">
        <f>SUM(K49:K50)</f>
        <v>0</v>
      </c>
      <c r="L51" s="295"/>
      <c r="M51" s="296"/>
      <c r="N51" s="297"/>
      <c r="O51" s="299"/>
      <c r="P51" s="299"/>
      <c r="Q51" s="299">
        <f>SUM(Q49:Q50)</f>
        <v>0</v>
      </c>
      <c r="R51" s="295"/>
      <c r="S51" s="296"/>
      <c r="T51" s="297"/>
      <c r="U51" s="299"/>
      <c r="V51" s="299"/>
      <c r="W51" s="299">
        <f>SUM(W49:W50)</f>
        <v>0</v>
      </c>
      <c r="X51" s="295"/>
      <c r="Y51" s="296"/>
      <c r="Z51" s="297"/>
      <c r="AA51" s="299"/>
      <c r="AB51" s="299"/>
      <c r="AC51" s="299">
        <f>SUM(AC49:AC50)</f>
        <v>0</v>
      </c>
      <c r="AD51" s="295"/>
      <c r="AE51" s="296"/>
      <c r="AF51" s="297"/>
      <c r="AG51" s="299"/>
      <c r="AH51" s="299"/>
      <c r="AI51" s="300">
        <f>SUM(AI49:AI50)</f>
        <v>0</v>
      </c>
      <c r="AJ51" s="274">
        <f>K51+Q51+W51+AC51+AI51</f>
        <v>0</v>
      </c>
    </row>
    <row r="52" spans="1:36" hidden="1" outlineLevel="1" x14ac:dyDescent="0.3">
      <c r="A52" s="371" t="s">
        <v>124</v>
      </c>
      <c r="B52" s="372"/>
      <c r="C52" s="372"/>
      <c r="D52" s="372"/>
      <c r="E52" s="365"/>
      <c r="F52" s="363"/>
      <c r="G52" s="364"/>
      <c r="H52" s="438"/>
      <c r="I52" s="365"/>
      <c r="J52" s="365"/>
      <c r="K52" s="2"/>
      <c r="L52" s="363"/>
      <c r="M52" s="364"/>
      <c r="N52" s="438"/>
      <c r="O52" s="365"/>
      <c r="P52" s="365"/>
      <c r="Q52" s="2"/>
      <c r="R52" s="74"/>
      <c r="S52" s="364"/>
      <c r="T52" s="438"/>
      <c r="U52" s="365"/>
      <c r="V52" s="365"/>
      <c r="W52" s="2"/>
      <c r="X52" s="74"/>
      <c r="Y52" s="364"/>
      <c r="Z52" s="438"/>
      <c r="AA52" s="365"/>
      <c r="AB52" s="365"/>
      <c r="AC52" s="2"/>
      <c r="AD52" s="74"/>
      <c r="AE52" s="364"/>
      <c r="AF52" s="438"/>
      <c r="AG52" s="365"/>
      <c r="AH52" s="365"/>
      <c r="AI52" s="3"/>
      <c r="AJ52" s="271"/>
    </row>
    <row r="53" spans="1:36" hidden="1" outlineLevel="1" x14ac:dyDescent="0.3">
      <c r="A53" s="340" t="s">
        <v>218</v>
      </c>
      <c r="B53" s="341"/>
      <c r="C53" s="341"/>
      <c r="D53" s="341"/>
      <c r="E53" s="324"/>
      <c r="F53" s="322"/>
      <c r="G53" s="323"/>
      <c r="H53" s="436"/>
      <c r="I53" s="324"/>
      <c r="J53" s="324"/>
      <c r="K53" s="244"/>
      <c r="L53" s="322"/>
      <c r="M53" s="323"/>
      <c r="N53" s="436"/>
      <c r="O53" s="324"/>
      <c r="P53" s="324"/>
      <c r="Q53" s="244"/>
      <c r="R53" s="247"/>
      <c r="S53" s="323"/>
      <c r="T53" s="436"/>
      <c r="U53" s="324"/>
      <c r="V53" s="324"/>
      <c r="W53" s="244"/>
      <c r="X53" s="247"/>
      <c r="Y53" s="323"/>
      <c r="Z53" s="436"/>
      <c r="AA53" s="324"/>
      <c r="AB53" s="324"/>
      <c r="AC53" s="244"/>
      <c r="AD53" s="247"/>
      <c r="AE53" s="323"/>
      <c r="AF53" s="436"/>
      <c r="AG53" s="324"/>
      <c r="AH53" s="324"/>
      <c r="AI53" s="248"/>
      <c r="AJ53" s="272">
        <f t="shared" ref="AJ53:AJ59" si="41">K53+Q53+W53+AC53+AI53</f>
        <v>0</v>
      </c>
    </row>
    <row r="54" spans="1:36" hidden="1" outlineLevel="1" x14ac:dyDescent="0.3">
      <c r="A54" s="340" t="s">
        <v>219</v>
      </c>
      <c r="B54" s="341"/>
      <c r="C54" s="341"/>
      <c r="D54" s="341"/>
      <c r="E54" s="324"/>
      <c r="F54" s="322"/>
      <c r="G54" s="323"/>
      <c r="H54" s="436"/>
      <c r="I54" s="324"/>
      <c r="J54" s="324"/>
      <c r="K54" s="244"/>
      <c r="L54" s="322"/>
      <c r="M54" s="323"/>
      <c r="N54" s="436"/>
      <c r="O54" s="324"/>
      <c r="P54" s="324"/>
      <c r="Q54" s="244"/>
      <c r="R54" s="247"/>
      <c r="S54" s="323"/>
      <c r="T54" s="436"/>
      <c r="U54" s="324"/>
      <c r="V54" s="324"/>
      <c r="W54" s="244"/>
      <c r="X54" s="247"/>
      <c r="Y54" s="323"/>
      <c r="Z54" s="436"/>
      <c r="AA54" s="324"/>
      <c r="AB54" s="324"/>
      <c r="AC54" s="244"/>
      <c r="AD54" s="247"/>
      <c r="AE54" s="323"/>
      <c r="AF54" s="436"/>
      <c r="AG54" s="324"/>
      <c r="AH54" s="324"/>
      <c r="AI54" s="248"/>
      <c r="AJ54" s="272">
        <f t="shared" si="41"/>
        <v>0</v>
      </c>
    </row>
    <row r="55" spans="1:36" hidden="1" outlineLevel="1" x14ac:dyDescent="0.3">
      <c r="A55" s="340" t="s">
        <v>220</v>
      </c>
      <c r="B55" s="341"/>
      <c r="C55" s="341"/>
      <c r="D55" s="341"/>
      <c r="E55" s="324"/>
      <c r="F55" s="322"/>
      <c r="G55" s="323"/>
      <c r="H55" s="436"/>
      <c r="I55" s="324"/>
      <c r="J55" s="324"/>
      <c r="K55" s="244"/>
      <c r="L55" s="322"/>
      <c r="M55" s="323"/>
      <c r="N55" s="436"/>
      <c r="O55" s="324"/>
      <c r="P55" s="324"/>
      <c r="Q55" s="244"/>
      <c r="R55" s="247"/>
      <c r="S55" s="323"/>
      <c r="T55" s="436"/>
      <c r="U55" s="324"/>
      <c r="V55" s="324"/>
      <c r="W55" s="244"/>
      <c r="X55" s="247"/>
      <c r="Y55" s="323"/>
      <c r="Z55" s="436"/>
      <c r="AA55" s="324"/>
      <c r="AB55" s="324"/>
      <c r="AC55" s="244"/>
      <c r="AD55" s="247"/>
      <c r="AE55" s="323"/>
      <c r="AF55" s="436"/>
      <c r="AG55" s="324"/>
      <c r="AH55" s="324"/>
      <c r="AI55" s="248"/>
      <c r="AJ55" s="272">
        <f t="shared" si="41"/>
        <v>0</v>
      </c>
    </row>
    <row r="56" spans="1:36" hidden="1" outlineLevel="1" x14ac:dyDescent="0.3">
      <c r="A56" s="340" t="s">
        <v>221</v>
      </c>
      <c r="B56" s="341"/>
      <c r="C56" s="341"/>
      <c r="D56" s="341"/>
      <c r="E56" s="324"/>
      <c r="F56" s="322"/>
      <c r="G56" s="323"/>
      <c r="H56" s="436"/>
      <c r="I56" s="324"/>
      <c r="J56" s="324"/>
      <c r="K56" s="244"/>
      <c r="L56" s="322"/>
      <c r="M56" s="323"/>
      <c r="N56" s="436"/>
      <c r="O56" s="324"/>
      <c r="P56" s="324"/>
      <c r="Q56" s="244"/>
      <c r="R56" s="247"/>
      <c r="S56" s="323"/>
      <c r="T56" s="436"/>
      <c r="U56" s="324"/>
      <c r="V56" s="324"/>
      <c r="W56" s="244"/>
      <c r="X56" s="247"/>
      <c r="Y56" s="323"/>
      <c r="Z56" s="436"/>
      <c r="AA56" s="324"/>
      <c r="AB56" s="324"/>
      <c r="AC56" s="244"/>
      <c r="AD56" s="247"/>
      <c r="AE56" s="323"/>
      <c r="AF56" s="436"/>
      <c r="AG56" s="324"/>
      <c r="AH56" s="324"/>
      <c r="AI56" s="248"/>
      <c r="AJ56" s="272">
        <f t="shared" si="41"/>
        <v>0</v>
      </c>
    </row>
    <row r="57" spans="1:36" hidden="1" outlineLevel="1" x14ac:dyDescent="0.3">
      <c r="A57" s="340" t="s">
        <v>222</v>
      </c>
      <c r="B57" s="341"/>
      <c r="C57" s="341"/>
      <c r="D57" s="341"/>
      <c r="E57" s="324"/>
      <c r="F57" s="322"/>
      <c r="G57" s="323"/>
      <c r="H57" s="436"/>
      <c r="I57" s="324"/>
      <c r="J57" s="324"/>
      <c r="K57" s="244"/>
      <c r="L57" s="322"/>
      <c r="M57" s="323"/>
      <c r="N57" s="436"/>
      <c r="O57" s="324"/>
      <c r="P57" s="324"/>
      <c r="Q57" s="244"/>
      <c r="R57" s="247"/>
      <c r="S57" s="323"/>
      <c r="T57" s="436"/>
      <c r="U57" s="324"/>
      <c r="V57" s="324"/>
      <c r="W57" s="244"/>
      <c r="X57" s="247"/>
      <c r="Y57" s="323"/>
      <c r="Z57" s="436"/>
      <c r="AA57" s="324"/>
      <c r="AB57" s="324"/>
      <c r="AC57" s="244"/>
      <c r="AD57" s="247"/>
      <c r="AE57" s="323"/>
      <c r="AF57" s="436"/>
      <c r="AG57" s="324"/>
      <c r="AH57" s="324"/>
      <c r="AI57" s="248"/>
      <c r="AJ57" s="272">
        <f t="shared" si="41"/>
        <v>0</v>
      </c>
    </row>
    <row r="58" spans="1:36" hidden="1" outlineLevel="1" x14ac:dyDescent="0.3">
      <c r="A58" s="377" t="s">
        <v>223</v>
      </c>
      <c r="B58" s="378"/>
      <c r="C58" s="378"/>
      <c r="D58" s="378"/>
      <c r="E58" s="358"/>
      <c r="F58" s="357"/>
      <c r="G58" s="379"/>
      <c r="H58" s="437"/>
      <c r="I58" s="358"/>
      <c r="J58" s="358"/>
      <c r="K58" s="244"/>
      <c r="L58" s="357"/>
      <c r="M58" s="379"/>
      <c r="N58" s="437"/>
      <c r="O58" s="358"/>
      <c r="P58" s="358"/>
      <c r="Q58" s="244"/>
      <c r="R58" s="247"/>
      <c r="S58" s="379"/>
      <c r="T58" s="437"/>
      <c r="U58" s="358"/>
      <c r="V58" s="358"/>
      <c r="W58" s="244"/>
      <c r="X58" s="247"/>
      <c r="Y58" s="379"/>
      <c r="Z58" s="437"/>
      <c r="AA58" s="358"/>
      <c r="AB58" s="358"/>
      <c r="AC58" s="244"/>
      <c r="AD58" s="247"/>
      <c r="AE58" s="379"/>
      <c r="AF58" s="437"/>
      <c r="AG58" s="358"/>
      <c r="AH58" s="358"/>
      <c r="AI58" s="248"/>
      <c r="AJ58" s="272">
        <f t="shared" si="41"/>
        <v>0</v>
      </c>
    </row>
    <row r="59" spans="1:36" s="5" customFormat="1" ht="15" collapsed="1" thickBot="1" x14ac:dyDescent="0.35">
      <c r="A59" s="302" t="s">
        <v>144</v>
      </c>
      <c r="B59" s="303"/>
      <c r="C59" s="303"/>
      <c r="D59" s="303"/>
      <c r="E59" s="299"/>
      <c r="F59" s="295"/>
      <c r="G59" s="296"/>
      <c r="H59" s="297"/>
      <c r="I59" s="299"/>
      <c r="J59" s="299"/>
      <c r="K59" s="299">
        <f>SUM(K53:K58)</f>
        <v>0</v>
      </c>
      <c r="L59" s="295"/>
      <c r="M59" s="296"/>
      <c r="N59" s="297"/>
      <c r="O59" s="299"/>
      <c r="P59" s="299"/>
      <c r="Q59" s="299">
        <f>SUM(Q53:Q58)</f>
        <v>0</v>
      </c>
      <c r="R59" s="295"/>
      <c r="S59" s="296"/>
      <c r="T59" s="297"/>
      <c r="U59" s="299"/>
      <c r="V59" s="299"/>
      <c r="W59" s="299">
        <f>SUM(W53:W58)</f>
        <v>0</v>
      </c>
      <c r="X59" s="295"/>
      <c r="Y59" s="296"/>
      <c r="Z59" s="297"/>
      <c r="AA59" s="299"/>
      <c r="AB59" s="299"/>
      <c r="AC59" s="299">
        <f>SUM(AC53:AC58)</f>
        <v>0</v>
      </c>
      <c r="AD59" s="295"/>
      <c r="AE59" s="296"/>
      <c r="AF59" s="297"/>
      <c r="AG59" s="299"/>
      <c r="AH59" s="299"/>
      <c r="AI59" s="300">
        <f>SUM(AI53:AI58)</f>
        <v>0</v>
      </c>
      <c r="AJ59" s="274">
        <f t="shared" si="41"/>
        <v>0</v>
      </c>
    </row>
    <row r="60" spans="1:36" outlineLevel="1" x14ac:dyDescent="0.3">
      <c r="A60" s="411" t="s">
        <v>145</v>
      </c>
      <c r="B60" s="412"/>
      <c r="C60" s="412"/>
      <c r="D60" s="412"/>
      <c r="E60" s="2"/>
      <c r="F60" s="74"/>
      <c r="H60" s="22"/>
      <c r="I60" s="2"/>
      <c r="J60" s="2"/>
      <c r="K60" s="2"/>
      <c r="L60" s="74"/>
      <c r="O60" s="2"/>
      <c r="P60" s="2"/>
      <c r="Q60" s="2"/>
      <c r="R60" s="74"/>
      <c r="T60" s="22"/>
      <c r="U60" s="2"/>
      <c r="V60" s="2"/>
      <c r="W60" s="2"/>
      <c r="X60" s="74"/>
      <c r="Z60" s="22"/>
      <c r="AA60" s="2"/>
      <c r="AB60" s="2"/>
      <c r="AC60" s="2"/>
      <c r="AD60" s="74"/>
      <c r="AF60" s="22"/>
      <c r="AG60" s="2"/>
      <c r="AH60" s="2"/>
      <c r="AI60" s="3"/>
      <c r="AJ60" s="271"/>
    </row>
    <row r="61" spans="1:36" outlineLevel="1" x14ac:dyDescent="0.3">
      <c r="A61" s="409" t="s">
        <v>146</v>
      </c>
      <c r="B61" s="410"/>
      <c r="C61" s="410"/>
      <c r="D61" s="410"/>
      <c r="E61" s="365"/>
      <c r="F61" s="363"/>
      <c r="G61" s="364"/>
      <c r="H61" s="438"/>
      <c r="I61" s="365"/>
      <c r="J61" s="365"/>
      <c r="K61" s="2"/>
      <c r="L61" s="363"/>
      <c r="M61" s="364"/>
      <c r="N61" s="438"/>
      <c r="O61" s="365"/>
      <c r="P61" s="365"/>
      <c r="Q61" s="2"/>
      <c r="R61" s="74"/>
      <c r="S61" s="364"/>
      <c r="T61" s="438"/>
      <c r="U61" s="365"/>
      <c r="V61" s="365"/>
      <c r="W61" s="2"/>
      <c r="X61" s="74"/>
      <c r="Y61" s="364"/>
      <c r="Z61" s="438"/>
      <c r="AA61" s="365"/>
      <c r="AB61" s="365"/>
      <c r="AC61" s="2"/>
      <c r="AD61" s="74"/>
      <c r="AE61" s="364"/>
      <c r="AF61" s="438"/>
      <c r="AG61" s="365"/>
      <c r="AH61" s="365"/>
      <c r="AI61" s="3"/>
      <c r="AJ61" s="272">
        <f t="shared" ref="AJ61:AJ69" si="42">K61+Q61+W61+AC61+AI61</f>
        <v>0</v>
      </c>
    </row>
    <row r="62" spans="1:36" outlineLevel="1" x14ac:dyDescent="0.3">
      <c r="A62" s="340" t="s">
        <v>224</v>
      </c>
      <c r="B62" s="341"/>
      <c r="C62" s="341"/>
      <c r="D62" s="341"/>
      <c r="E62" s="324"/>
      <c r="F62" s="322"/>
      <c r="G62" s="323"/>
      <c r="H62" s="436"/>
      <c r="I62" s="324"/>
      <c r="J62" s="324"/>
      <c r="K62" s="244"/>
      <c r="L62" s="322"/>
      <c r="M62" s="323"/>
      <c r="N62" s="436"/>
      <c r="O62" s="324"/>
      <c r="P62" s="324"/>
      <c r="Q62" s="244"/>
      <c r="R62" s="247"/>
      <c r="S62" s="323"/>
      <c r="T62" s="436"/>
      <c r="U62" s="324"/>
      <c r="V62" s="324"/>
      <c r="W62" s="244"/>
      <c r="X62" s="247"/>
      <c r="Y62" s="323"/>
      <c r="Z62" s="436"/>
      <c r="AA62" s="324"/>
      <c r="AB62" s="324"/>
      <c r="AC62" s="244"/>
      <c r="AD62" s="247"/>
      <c r="AE62" s="323"/>
      <c r="AF62" s="436"/>
      <c r="AG62" s="324"/>
      <c r="AH62" s="324"/>
      <c r="AI62" s="248"/>
      <c r="AJ62" s="272">
        <f t="shared" si="42"/>
        <v>0</v>
      </c>
    </row>
    <row r="63" spans="1:36" outlineLevel="1" x14ac:dyDescent="0.3">
      <c r="A63" s="343" t="s">
        <v>246</v>
      </c>
      <c r="B63" s="342"/>
      <c r="C63" s="342"/>
      <c r="D63" s="342"/>
      <c r="E63" s="324"/>
      <c r="F63" s="322" t="s">
        <v>247</v>
      </c>
      <c r="G63" s="323"/>
      <c r="H63" s="436"/>
      <c r="I63" s="324"/>
      <c r="J63" s="324"/>
      <c r="K63" s="244"/>
      <c r="L63" s="322"/>
      <c r="M63" s="323"/>
      <c r="N63" s="436"/>
      <c r="O63" s="324"/>
      <c r="P63" s="324"/>
      <c r="Q63" s="244"/>
      <c r="R63" s="247"/>
      <c r="S63" s="323"/>
      <c r="T63" s="436"/>
      <c r="U63" s="324"/>
      <c r="V63" s="324"/>
      <c r="W63" s="244"/>
      <c r="X63" s="247"/>
      <c r="Y63" s="323"/>
      <c r="Z63" s="436"/>
      <c r="AA63" s="324"/>
      <c r="AB63" s="324"/>
      <c r="AC63" s="244"/>
      <c r="AD63" s="247"/>
      <c r="AE63" s="323"/>
      <c r="AF63" s="436"/>
      <c r="AG63" s="324"/>
      <c r="AH63" s="324"/>
      <c r="AI63" s="248"/>
      <c r="AJ63" s="272">
        <f t="shared" si="42"/>
        <v>0</v>
      </c>
    </row>
    <row r="64" spans="1:36" outlineLevel="1" x14ac:dyDescent="0.3">
      <c r="A64" s="343" t="s">
        <v>248</v>
      </c>
      <c r="B64" s="342"/>
      <c r="C64" s="342"/>
      <c r="D64" s="342"/>
      <c r="E64" s="324"/>
      <c r="F64" s="322"/>
      <c r="G64" s="323"/>
      <c r="H64" s="436"/>
      <c r="I64" s="324"/>
      <c r="J64" s="324"/>
      <c r="K64" s="244"/>
      <c r="L64" s="322"/>
      <c r="M64" s="323"/>
      <c r="N64" s="436"/>
      <c r="O64" s="324"/>
      <c r="P64" s="324"/>
      <c r="Q64" s="244"/>
      <c r="R64" s="247"/>
      <c r="S64" s="323"/>
      <c r="T64" s="436"/>
      <c r="U64" s="324"/>
      <c r="V64" s="324"/>
      <c r="W64" s="244"/>
      <c r="X64" s="247"/>
      <c r="Y64" s="323"/>
      <c r="Z64" s="436"/>
      <c r="AA64" s="324"/>
      <c r="AB64" s="324"/>
      <c r="AC64" s="244"/>
      <c r="AD64" s="247"/>
      <c r="AE64" s="323"/>
      <c r="AF64" s="436"/>
      <c r="AG64" s="324"/>
      <c r="AH64" s="324"/>
      <c r="AI64" s="248"/>
      <c r="AJ64" s="272">
        <f t="shared" si="42"/>
        <v>0</v>
      </c>
    </row>
    <row r="65" spans="1:36" outlineLevel="1" x14ac:dyDescent="0.3">
      <c r="A65" s="417"/>
      <c r="B65" s="418"/>
      <c r="C65" s="418"/>
      <c r="D65" s="418"/>
      <c r="E65" s="358"/>
      <c r="F65" s="357"/>
      <c r="G65" s="379"/>
      <c r="H65" s="437"/>
      <c r="I65" s="358"/>
      <c r="J65" s="358"/>
      <c r="K65" s="244"/>
      <c r="L65" s="357"/>
      <c r="M65" s="379"/>
      <c r="N65" s="437"/>
      <c r="O65" s="358"/>
      <c r="P65" s="358"/>
      <c r="Q65" s="244"/>
      <c r="R65" s="247"/>
      <c r="S65" s="379"/>
      <c r="T65" s="437"/>
      <c r="U65" s="358"/>
      <c r="V65" s="358"/>
      <c r="W65" s="244"/>
      <c r="X65" s="247"/>
      <c r="Y65" s="379"/>
      <c r="Z65" s="437"/>
      <c r="AA65" s="358"/>
      <c r="AB65" s="358"/>
      <c r="AC65" s="244"/>
      <c r="AD65" s="247"/>
      <c r="AE65" s="379"/>
      <c r="AF65" s="437"/>
      <c r="AG65" s="358"/>
      <c r="AH65" s="358"/>
      <c r="AI65" s="248"/>
      <c r="AJ65" s="272">
        <f t="shared" si="42"/>
        <v>0</v>
      </c>
    </row>
    <row r="66" spans="1:36" s="5" customFormat="1" outlineLevel="1" x14ac:dyDescent="0.3">
      <c r="A66" s="344" t="s">
        <v>181</v>
      </c>
      <c r="B66" s="345"/>
      <c r="C66" s="345"/>
      <c r="D66" s="345"/>
      <c r="E66" s="349"/>
      <c r="F66" s="346"/>
      <c r="G66" s="347"/>
      <c r="H66" s="348"/>
      <c r="I66" s="349"/>
      <c r="J66" s="349"/>
      <c r="K66" s="349">
        <f>SUM(K62:K65)</f>
        <v>0</v>
      </c>
      <c r="L66" s="346"/>
      <c r="M66" s="347"/>
      <c r="N66" s="348"/>
      <c r="O66" s="349"/>
      <c r="P66" s="349"/>
      <c r="Q66" s="349">
        <f>SUM(Q62:Q65)</f>
        <v>0</v>
      </c>
      <c r="R66" s="346"/>
      <c r="S66" s="347"/>
      <c r="T66" s="348"/>
      <c r="U66" s="349"/>
      <c r="V66" s="349"/>
      <c r="W66" s="349">
        <f>SUM(W62:W65)</f>
        <v>0</v>
      </c>
      <c r="X66" s="346"/>
      <c r="Y66" s="347"/>
      <c r="Z66" s="348"/>
      <c r="AA66" s="349"/>
      <c r="AB66" s="349"/>
      <c r="AC66" s="349">
        <f>SUM(AC62:AC65)</f>
        <v>0</v>
      </c>
      <c r="AD66" s="346"/>
      <c r="AE66" s="347"/>
      <c r="AF66" s="348"/>
      <c r="AG66" s="349"/>
      <c r="AH66" s="349"/>
      <c r="AI66" s="350">
        <f>SUM(AI62:AI65)</f>
        <v>0</v>
      </c>
      <c r="AJ66" s="467">
        <f t="shared" si="42"/>
        <v>0</v>
      </c>
    </row>
    <row r="67" spans="1:36" outlineLevel="1" x14ac:dyDescent="0.3">
      <c r="A67" s="409" t="s">
        <v>182</v>
      </c>
      <c r="B67" s="410"/>
      <c r="C67" s="410"/>
      <c r="D67" s="410"/>
      <c r="E67" s="365"/>
      <c r="F67" s="363"/>
      <c r="G67" s="364"/>
      <c r="H67" s="438"/>
      <c r="I67" s="365"/>
      <c r="J67" s="365"/>
      <c r="K67" s="244"/>
      <c r="L67" s="363"/>
      <c r="M67" s="364"/>
      <c r="N67" s="438"/>
      <c r="O67" s="365"/>
      <c r="P67" s="365"/>
      <c r="Q67" s="244"/>
      <c r="R67" s="247"/>
      <c r="S67" s="364"/>
      <c r="T67" s="438"/>
      <c r="U67" s="365"/>
      <c r="V67" s="365"/>
      <c r="W67" s="244"/>
      <c r="X67" s="247"/>
      <c r="Y67" s="364"/>
      <c r="Z67" s="438"/>
      <c r="AA67" s="365"/>
      <c r="AB67" s="365"/>
      <c r="AC67" s="244"/>
      <c r="AD67" s="247"/>
      <c r="AE67" s="364"/>
      <c r="AF67" s="438"/>
      <c r="AG67" s="365"/>
      <c r="AH67" s="365"/>
      <c r="AI67" s="248"/>
      <c r="AJ67" s="272">
        <f t="shared" si="42"/>
        <v>0</v>
      </c>
    </row>
    <row r="68" spans="1:36" outlineLevel="1" x14ac:dyDescent="0.3">
      <c r="A68" s="340" t="s">
        <v>183</v>
      </c>
      <c r="B68" s="341"/>
      <c r="C68" s="341"/>
      <c r="D68" s="341"/>
      <c r="E68" s="324"/>
      <c r="F68" s="322"/>
      <c r="G68" s="323"/>
      <c r="H68" s="436"/>
      <c r="I68" s="324"/>
      <c r="J68" s="324"/>
      <c r="K68" s="244"/>
      <c r="L68" s="322"/>
      <c r="M68" s="323"/>
      <c r="N68" s="436"/>
      <c r="O68" s="324"/>
      <c r="P68" s="324"/>
      <c r="Q68" s="244"/>
      <c r="R68" s="247"/>
      <c r="S68" s="323"/>
      <c r="T68" s="436"/>
      <c r="U68" s="324"/>
      <c r="V68" s="324"/>
      <c r="W68" s="244"/>
      <c r="X68" s="247"/>
      <c r="Y68" s="323"/>
      <c r="Z68" s="436"/>
      <c r="AA68" s="324"/>
      <c r="AB68" s="324"/>
      <c r="AC68" s="244"/>
      <c r="AD68" s="247"/>
      <c r="AE68" s="323"/>
      <c r="AF68" s="436"/>
      <c r="AG68" s="324"/>
      <c r="AH68" s="324"/>
      <c r="AI68" s="248"/>
      <c r="AJ68" s="272">
        <f t="shared" si="42"/>
        <v>0</v>
      </c>
    </row>
    <row r="69" spans="1:36" outlineLevel="1" x14ac:dyDescent="0.3">
      <c r="A69" s="340" t="s">
        <v>184</v>
      </c>
      <c r="B69" s="341"/>
      <c r="C69" s="341"/>
      <c r="D69" s="341"/>
      <c r="E69" s="324"/>
      <c r="F69" s="322"/>
      <c r="G69" s="323"/>
      <c r="H69" s="436"/>
      <c r="I69" s="324"/>
      <c r="J69" s="324"/>
      <c r="K69" s="244"/>
      <c r="L69" s="322"/>
      <c r="M69" s="323"/>
      <c r="N69" s="436"/>
      <c r="O69" s="324"/>
      <c r="P69" s="324"/>
      <c r="Q69" s="244"/>
      <c r="R69" s="247"/>
      <c r="S69" s="323"/>
      <c r="T69" s="436"/>
      <c r="U69" s="324"/>
      <c r="V69" s="324"/>
      <c r="W69" s="244"/>
      <c r="X69" s="247"/>
      <c r="Y69" s="323"/>
      <c r="Z69" s="436"/>
      <c r="AA69" s="324"/>
      <c r="AB69" s="324"/>
      <c r="AC69" s="244"/>
      <c r="AD69" s="247"/>
      <c r="AE69" s="323"/>
      <c r="AF69" s="436"/>
      <c r="AG69" s="324"/>
      <c r="AH69" s="324"/>
      <c r="AI69" s="248"/>
      <c r="AJ69" s="272">
        <f t="shared" si="42"/>
        <v>0</v>
      </c>
    </row>
    <row r="70" spans="1:36" outlineLevel="1" x14ac:dyDescent="0.3">
      <c r="A70" s="340" t="s">
        <v>231</v>
      </c>
      <c r="B70" s="341"/>
      <c r="C70" s="341"/>
      <c r="D70" s="341"/>
      <c r="E70" s="324"/>
      <c r="F70" s="322"/>
      <c r="G70" s="323"/>
      <c r="H70" s="436"/>
      <c r="I70" s="324"/>
      <c r="J70" s="324"/>
      <c r="K70" s="2"/>
      <c r="L70" s="322"/>
      <c r="M70" s="323"/>
      <c r="N70" s="436"/>
      <c r="O70" s="324"/>
      <c r="P70" s="324"/>
      <c r="Q70" s="2"/>
      <c r="R70" s="74"/>
      <c r="S70" s="323"/>
      <c r="T70" s="436"/>
      <c r="U70" s="324"/>
      <c r="V70" s="324"/>
      <c r="W70" s="2"/>
      <c r="X70" s="74"/>
      <c r="Y70" s="323"/>
      <c r="Z70" s="436"/>
      <c r="AA70" s="324"/>
      <c r="AB70" s="324"/>
      <c r="AC70" s="2"/>
      <c r="AD70" s="74"/>
      <c r="AE70" s="323"/>
      <c r="AF70" s="436"/>
      <c r="AG70" s="324"/>
      <c r="AH70" s="324"/>
      <c r="AI70" s="3"/>
      <c r="AJ70" s="272"/>
    </row>
    <row r="71" spans="1:36" outlineLevel="1" x14ac:dyDescent="0.3">
      <c r="A71" s="340" t="s">
        <v>188</v>
      </c>
      <c r="B71" s="341"/>
      <c r="C71" s="341"/>
      <c r="D71" s="341"/>
      <c r="E71" s="324"/>
      <c r="F71" s="322"/>
      <c r="G71" s="323"/>
      <c r="H71" s="436"/>
      <c r="I71" s="324"/>
      <c r="J71" s="324"/>
      <c r="K71" s="244"/>
      <c r="L71" s="322"/>
      <c r="M71" s="323"/>
      <c r="N71" s="436"/>
      <c r="O71" s="324"/>
      <c r="P71" s="324"/>
      <c r="Q71" s="244"/>
      <c r="R71" s="247"/>
      <c r="S71" s="323"/>
      <c r="T71" s="436"/>
      <c r="U71" s="324"/>
      <c r="V71" s="324"/>
      <c r="W71" s="244"/>
      <c r="X71" s="247"/>
      <c r="Y71" s="323"/>
      <c r="Z71" s="436"/>
      <c r="AA71" s="324"/>
      <c r="AB71" s="324"/>
      <c r="AC71" s="244"/>
      <c r="AD71" s="247"/>
      <c r="AE71" s="323"/>
      <c r="AF71" s="436"/>
      <c r="AG71" s="324"/>
      <c r="AH71" s="324"/>
      <c r="AI71" s="248"/>
      <c r="AJ71" s="272">
        <f>K71+Q71+W71+AC71+AI71</f>
        <v>0</v>
      </c>
    </row>
    <row r="72" spans="1:36" outlineLevel="1" x14ac:dyDescent="0.3">
      <c r="A72" s="377" t="s">
        <v>189</v>
      </c>
      <c r="B72" s="378"/>
      <c r="C72" s="378"/>
      <c r="D72" s="378"/>
      <c r="E72" s="358"/>
      <c r="F72" s="357"/>
      <c r="G72" s="379"/>
      <c r="H72" s="437"/>
      <c r="I72" s="358"/>
      <c r="J72" s="358"/>
      <c r="K72" s="244"/>
      <c r="L72" s="357"/>
      <c r="M72" s="379"/>
      <c r="N72" s="437"/>
      <c r="O72" s="358"/>
      <c r="P72" s="358"/>
      <c r="Q72" s="244"/>
      <c r="R72" s="247"/>
      <c r="S72" s="379"/>
      <c r="T72" s="437"/>
      <c r="U72" s="358"/>
      <c r="V72" s="358"/>
      <c r="W72" s="244"/>
      <c r="X72" s="247"/>
      <c r="Y72" s="379"/>
      <c r="Z72" s="437"/>
      <c r="AA72" s="358"/>
      <c r="AB72" s="358"/>
      <c r="AC72" s="244"/>
      <c r="AD72" s="247"/>
      <c r="AE72" s="379"/>
      <c r="AF72" s="437"/>
      <c r="AG72" s="358"/>
      <c r="AH72" s="358"/>
      <c r="AI72" s="248"/>
      <c r="AJ72" s="272">
        <f>K72+Q72+W72+AC72+AI72</f>
        <v>0</v>
      </c>
    </row>
    <row r="73" spans="1:36" outlineLevel="1" x14ac:dyDescent="0.3">
      <c r="A73" s="351" t="s">
        <v>190</v>
      </c>
      <c r="B73" s="352"/>
      <c r="C73" s="352"/>
      <c r="D73" s="352"/>
      <c r="E73" s="443"/>
      <c r="F73" s="346"/>
      <c r="G73" s="347"/>
      <c r="H73" s="348"/>
      <c r="I73" s="349"/>
      <c r="J73" s="349"/>
      <c r="K73" s="349">
        <f>SUM(K71:K72)</f>
        <v>0</v>
      </c>
      <c r="L73" s="346"/>
      <c r="M73" s="347"/>
      <c r="N73" s="348"/>
      <c r="O73" s="349"/>
      <c r="P73" s="349"/>
      <c r="Q73" s="349">
        <f>SUM(Q71:Q72)</f>
        <v>0</v>
      </c>
      <c r="R73" s="346"/>
      <c r="S73" s="347"/>
      <c r="T73" s="348"/>
      <c r="U73" s="349"/>
      <c r="V73" s="349"/>
      <c r="W73" s="349">
        <f>SUM(W71:W72)</f>
        <v>0</v>
      </c>
      <c r="X73" s="346"/>
      <c r="Y73" s="347"/>
      <c r="Z73" s="348"/>
      <c r="AA73" s="349"/>
      <c r="AB73" s="349"/>
      <c r="AC73" s="349">
        <f>SUM(AC71:AC72)</f>
        <v>0</v>
      </c>
      <c r="AD73" s="346"/>
      <c r="AE73" s="347"/>
      <c r="AF73" s="348"/>
      <c r="AG73" s="349"/>
      <c r="AH73" s="349"/>
      <c r="AI73" s="350">
        <f>SUM(AI71:AI72)</f>
        <v>0</v>
      </c>
      <c r="AJ73" s="467">
        <f>K73+Q73+W73+AC73+AI73</f>
        <v>0</v>
      </c>
    </row>
    <row r="74" spans="1:36" outlineLevel="1" x14ac:dyDescent="0.3">
      <c r="A74" s="409" t="s">
        <v>191</v>
      </c>
      <c r="B74" s="410"/>
      <c r="C74" s="410"/>
      <c r="D74" s="410"/>
      <c r="E74" s="365"/>
      <c r="F74" s="363"/>
      <c r="G74" s="364"/>
      <c r="H74" s="438"/>
      <c r="I74" s="365"/>
      <c r="J74" s="365"/>
      <c r="K74" s="244"/>
      <c r="L74" s="363"/>
      <c r="M74" s="364"/>
      <c r="N74" s="438"/>
      <c r="O74" s="365"/>
      <c r="P74" s="365"/>
      <c r="Q74" s="244"/>
      <c r="R74" s="247"/>
      <c r="S74" s="364"/>
      <c r="T74" s="438"/>
      <c r="U74" s="365"/>
      <c r="V74" s="365"/>
      <c r="W74" s="244"/>
      <c r="X74" s="247"/>
      <c r="Y74" s="364"/>
      <c r="Z74" s="438"/>
      <c r="AA74" s="365"/>
      <c r="AB74" s="365"/>
      <c r="AC74" s="244"/>
      <c r="AD74" s="247"/>
      <c r="AE74" s="364"/>
      <c r="AF74" s="438"/>
      <c r="AG74" s="365"/>
      <c r="AH74" s="365"/>
      <c r="AI74" s="248"/>
      <c r="AJ74" s="272">
        <f>K74+Q74+W74+AC74+AI74</f>
        <v>0</v>
      </c>
    </row>
    <row r="75" spans="1:36" outlineLevel="1" x14ac:dyDescent="0.3">
      <c r="A75" s="340" t="s">
        <v>192</v>
      </c>
      <c r="B75" s="341"/>
      <c r="C75" s="341"/>
      <c r="D75" s="341"/>
      <c r="E75" s="324"/>
      <c r="F75" s="322"/>
      <c r="G75" s="323"/>
      <c r="H75" s="436"/>
      <c r="I75" s="324"/>
      <c r="J75" s="324"/>
      <c r="K75" s="244"/>
      <c r="L75" s="322"/>
      <c r="M75" s="323"/>
      <c r="N75" s="436"/>
      <c r="O75" s="324"/>
      <c r="P75" s="324"/>
      <c r="Q75" s="244"/>
      <c r="R75" s="247"/>
      <c r="S75" s="323"/>
      <c r="T75" s="436"/>
      <c r="U75" s="324"/>
      <c r="V75" s="324"/>
      <c r="W75" s="244"/>
      <c r="X75" s="247"/>
      <c r="Y75" s="323"/>
      <c r="Z75" s="436"/>
      <c r="AA75" s="324"/>
      <c r="AB75" s="324"/>
      <c r="AC75" s="244"/>
      <c r="AD75" s="247"/>
      <c r="AE75" s="323"/>
      <c r="AF75" s="436"/>
      <c r="AG75" s="324"/>
      <c r="AH75" s="324"/>
      <c r="AI75" s="248"/>
      <c r="AJ75" s="272">
        <f>K75+Q75+W75+AC75+AI75</f>
        <v>0</v>
      </c>
    </row>
    <row r="76" spans="1:36" outlineLevel="1" x14ac:dyDescent="0.3">
      <c r="A76" s="340" t="s">
        <v>193</v>
      </c>
      <c r="B76" s="341"/>
      <c r="C76" s="341"/>
      <c r="D76" s="341"/>
      <c r="E76" s="324"/>
      <c r="F76" s="322"/>
      <c r="G76" s="323"/>
      <c r="H76" s="436"/>
      <c r="I76" s="324"/>
      <c r="J76" s="324"/>
      <c r="K76" s="2"/>
      <c r="L76" s="322"/>
      <c r="M76" s="323"/>
      <c r="N76" s="436"/>
      <c r="O76" s="324"/>
      <c r="P76" s="324"/>
      <c r="Q76" s="2"/>
      <c r="R76" s="74"/>
      <c r="S76" s="323"/>
      <c r="T76" s="436"/>
      <c r="U76" s="324"/>
      <c r="V76" s="324"/>
      <c r="W76" s="2"/>
      <c r="X76" s="74"/>
      <c r="Y76" s="323"/>
      <c r="Z76" s="436"/>
      <c r="AA76" s="324"/>
      <c r="AB76" s="324"/>
      <c r="AC76" s="2"/>
      <c r="AD76" s="74"/>
      <c r="AE76" s="323"/>
      <c r="AF76" s="436"/>
      <c r="AG76" s="324"/>
      <c r="AH76" s="324"/>
      <c r="AI76" s="3"/>
      <c r="AJ76" s="272"/>
    </row>
    <row r="77" spans="1:36" outlineLevel="1" x14ac:dyDescent="0.3">
      <c r="A77" s="340" t="s">
        <v>194</v>
      </c>
      <c r="B77" s="341"/>
      <c r="C77" s="341"/>
      <c r="D77" s="341"/>
      <c r="E77" s="324"/>
      <c r="F77" s="322"/>
      <c r="G77" s="323"/>
      <c r="H77" s="436"/>
      <c r="I77" s="324"/>
      <c r="J77" s="324"/>
      <c r="K77" s="244"/>
      <c r="L77" s="322"/>
      <c r="M77" s="323"/>
      <c r="N77" s="436"/>
      <c r="O77" s="324"/>
      <c r="P77" s="324"/>
      <c r="Q77" s="244"/>
      <c r="R77" s="247"/>
      <c r="S77" s="323"/>
      <c r="T77" s="436"/>
      <c r="U77" s="324"/>
      <c r="V77" s="324"/>
      <c r="W77" s="244"/>
      <c r="X77" s="247"/>
      <c r="Y77" s="323"/>
      <c r="Z77" s="436"/>
      <c r="AA77" s="324"/>
      <c r="AB77" s="324"/>
      <c r="AC77" s="244"/>
      <c r="AD77" s="247"/>
      <c r="AE77" s="323"/>
      <c r="AF77" s="436"/>
      <c r="AG77" s="324"/>
      <c r="AH77" s="324"/>
      <c r="AI77" s="248"/>
      <c r="AJ77" s="272">
        <f t="shared" ref="AJ77:AJ80" si="43">K77+Q77+W77+AC77+AI77</f>
        <v>0</v>
      </c>
    </row>
    <row r="78" spans="1:36" outlineLevel="1" x14ac:dyDescent="0.3">
      <c r="A78" s="377" t="s">
        <v>195</v>
      </c>
      <c r="B78" s="378"/>
      <c r="C78" s="378"/>
      <c r="D78" s="378"/>
      <c r="E78" s="358"/>
      <c r="F78" s="357"/>
      <c r="G78" s="379"/>
      <c r="H78" s="437"/>
      <c r="I78" s="358"/>
      <c r="J78" s="358"/>
      <c r="K78" s="244"/>
      <c r="L78" s="357"/>
      <c r="M78" s="379"/>
      <c r="N78" s="437"/>
      <c r="O78" s="358"/>
      <c r="P78" s="358"/>
      <c r="Q78" s="244"/>
      <c r="R78" s="247"/>
      <c r="S78" s="379"/>
      <c r="T78" s="437"/>
      <c r="U78" s="358"/>
      <c r="V78" s="358"/>
      <c r="W78" s="244"/>
      <c r="X78" s="247"/>
      <c r="Y78" s="379"/>
      <c r="Z78" s="437"/>
      <c r="AA78" s="358"/>
      <c r="AB78" s="358"/>
      <c r="AC78" s="244"/>
      <c r="AD78" s="247"/>
      <c r="AE78" s="379"/>
      <c r="AF78" s="437"/>
      <c r="AG78" s="358"/>
      <c r="AH78" s="358"/>
      <c r="AI78" s="248"/>
      <c r="AJ78" s="272">
        <f t="shared" si="43"/>
        <v>0</v>
      </c>
    </row>
    <row r="79" spans="1:36" outlineLevel="1" x14ac:dyDescent="0.3">
      <c r="A79" s="448" t="s">
        <v>196</v>
      </c>
      <c r="B79" s="449"/>
      <c r="C79" s="449"/>
      <c r="D79" s="449"/>
      <c r="E79" s="450"/>
      <c r="F79" s="457"/>
      <c r="G79" s="469"/>
      <c r="H79" s="470"/>
      <c r="I79" s="416"/>
      <c r="J79" s="416"/>
      <c r="K79" s="416">
        <f>SUM(K77:K78)</f>
        <v>0</v>
      </c>
      <c r="L79" s="457"/>
      <c r="M79" s="469"/>
      <c r="N79" s="470"/>
      <c r="O79" s="416"/>
      <c r="P79" s="416"/>
      <c r="Q79" s="416">
        <f>SUM(Q77:Q78)</f>
        <v>0</v>
      </c>
      <c r="R79" s="457"/>
      <c r="S79" s="469"/>
      <c r="T79" s="470"/>
      <c r="U79" s="416"/>
      <c r="V79" s="416"/>
      <c r="W79" s="416">
        <f>SUM(W77:W78)</f>
        <v>0</v>
      </c>
      <c r="X79" s="457"/>
      <c r="Y79" s="469"/>
      <c r="Z79" s="470"/>
      <c r="AA79" s="416"/>
      <c r="AB79" s="416"/>
      <c r="AC79" s="416">
        <f>SUM(AC77:AC78)</f>
        <v>0</v>
      </c>
      <c r="AD79" s="457"/>
      <c r="AE79" s="469"/>
      <c r="AF79" s="470"/>
      <c r="AG79" s="416"/>
      <c r="AH79" s="416"/>
      <c r="AI79" s="415">
        <f>SUM(AI77:AI78)</f>
        <v>0</v>
      </c>
      <c r="AJ79" s="467">
        <f t="shared" si="43"/>
        <v>0</v>
      </c>
    </row>
    <row r="80" spans="1:36" ht="15" thickBot="1" x14ac:dyDescent="0.35">
      <c r="A80" s="463" t="s">
        <v>200</v>
      </c>
      <c r="B80" s="464"/>
      <c r="C80" s="464"/>
      <c r="D80" s="464"/>
      <c r="E80" s="465"/>
      <c r="F80" s="471"/>
      <c r="G80" s="472"/>
      <c r="H80" s="473"/>
      <c r="I80" s="474"/>
      <c r="J80" s="474"/>
      <c r="K80" s="474">
        <f>K66+K67+K68+K69+K73+K74+K75+K79</f>
        <v>0</v>
      </c>
      <c r="L80" s="471"/>
      <c r="M80" s="472"/>
      <c r="N80" s="473"/>
      <c r="O80" s="474"/>
      <c r="P80" s="474"/>
      <c r="Q80" s="474">
        <f>Q66+Q67+Q68+Q69+Q73+Q74+Q75+Q79</f>
        <v>0</v>
      </c>
      <c r="R80" s="471"/>
      <c r="S80" s="472"/>
      <c r="T80" s="473"/>
      <c r="U80" s="474"/>
      <c r="V80" s="474"/>
      <c r="W80" s="474">
        <f>W66+W67+W68+W69+W73+W74+W75+W79</f>
        <v>0</v>
      </c>
      <c r="X80" s="471"/>
      <c r="Y80" s="472"/>
      <c r="Z80" s="473"/>
      <c r="AA80" s="474"/>
      <c r="AB80" s="474"/>
      <c r="AC80" s="474">
        <f>AC66+AC67+AC68+AC69+AC73+AC74+AC75+AC79</f>
        <v>0</v>
      </c>
      <c r="AD80" s="471"/>
      <c r="AE80" s="472"/>
      <c r="AF80" s="473"/>
      <c r="AG80" s="474"/>
      <c r="AH80" s="474"/>
      <c r="AI80" s="475">
        <f>AI66+AI67+AI68+AI69+AI73+AI74+AI75+AI79</f>
        <v>0</v>
      </c>
      <c r="AJ80" s="274">
        <f t="shared" si="43"/>
        <v>0</v>
      </c>
    </row>
    <row r="81" spans="1:36" s="40" customFormat="1" ht="18.600000000000001" thickBot="1" x14ac:dyDescent="0.35">
      <c r="A81" s="288" t="s">
        <v>201</v>
      </c>
      <c r="B81" s="289"/>
      <c r="C81" s="289"/>
      <c r="D81" s="289"/>
      <c r="E81" s="458"/>
      <c r="F81" s="459"/>
      <c r="G81" s="460"/>
      <c r="H81" s="461"/>
      <c r="I81" s="458"/>
      <c r="J81" s="458"/>
      <c r="K81" s="458">
        <f>K43+K47+K51+K59+K80</f>
        <v>0</v>
      </c>
      <c r="L81" s="459"/>
      <c r="M81" s="460"/>
      <c r="N81" s="461"/>
      <c r="O81" s="458"/>
      <c r="P81" s="458"/>
      <c r="Q81" s="458">
        <f>Q43+Q47+Q51+Q59+Q80</f>
        <v>0</v>
      </c>
      <c r="R81" s="459"/>
      <c r="S81" s="460"/>
      <c r="T81" s="461"/>
      <c r="U81" s="458"/>
      <c r="V81" s="458"/>
      <c r="W81" s="458">
        <f>W43+W47+W51+W59+W80</f>
        <v>0</v>
      </c>
      <c r="X81" s="459"/>
      <c r="Y81" s="460"/>
      <c r="Z81" s="461"/>
      <c r="AA81" s="458"/>
      <c r="AB81" s="458"/>
      <c r="AC81" s="458">
        <f>AC43+AC47+AC51+AC59+AC80</f>
        <v>0</v>
      </c>
      <c r="AD81" s="459"/>
      <c r="AE81" s="460"/>
      <c r="AF81" s="461"/>
      <c r="AG81" s="458"/>
      <c r="AH81" s="458"/>
      <c r="AI81" s="462">
        <f>AI43+AI47+AI51+AI59+AI80</f>
        <v>0</v>
      </c>
      <c r="AJ81" s="40">
        <v>0</v>
      </c>
    </row>
    <row r="82" spans="1:36" s="32" customFormat="1" ht="18.600000000000001" thickBot="1" x14ac:dyDescent="0.35">
      <c r="A82" s="27" t="s">
        <v>202</v>
      </c>
      <c r="B82" s="28"/>
      <c r="C82" s="28"/>
      <c r="D82" s="28"/>
      <c r="E82" s="29"/>
      <c r="F82" s="59"/>
      <c r="G82" s="60"/>
      <c r="H82" s="30"/>
      <c r="I82" s="29"/>
      <c r="J82" s="29"/>
      <c r="K82" s="29">
        <f>K81-K79-K53-K47</f>
        <v>0</v>
      </c>
      <c r="L82" s="59"/>
      <c r="M82" s="60"/>
      <c r="N82" s="30"/>
      <c r="O82" s="29"/>
      <c r="P82" s="29"/>
      <c r="Q82" s="29">
        <f>Q81-Q79-Q53-Q47</f>
        <v>0</v>
      </c>
      <c r="R82" s="59"/>
      <c r="S82" s="60"/>
      <c r="T82" s="30"/>
      <c r="U82" s="29"/>
      <c r="V82" s="29"/>
      <c r="W82" s="29">
        <f>W81-W79-W53-W47</f>
        <v>0</v>
      </c>
      <c r="X82" s="59"/>
      <c r="Y82" s="60"/>
      <c r="Z82" s="30"/>
      <c r="AA82" s="29"/>
      <c r="AB82" s="29"/>
      <c r="AC82" s="29">
        <f>AC81-AC79-AC53-AC47</f>
        <v>0</v>
      </c>
      <c r="AD82" s="59"/>
      <c r="AE82" s="60"/>
      <c r="AF82" s="30"/>
      <c r="AG82" s="29"/>
      <c r="AH82" s="29"/>
      <c r="AI82" s="31">
        <f>AI81-AI79-AI53-AI47</f>
        <v>0</v>
      </c>
      <c r="AJ82" s="468">
        <v>0</v>
      </c>
    </row>
    <row r="83" spans="1:36" s="38" customFormat="1" ht="15" thickBot="1" x14ac:dyDescent="0.35">
      <c r="A83" s="33" t="s">
        <v>46</v>
      </c>
      <c r="B83" s="34"/>
      <c r="C83" s="34"/>
      <c r="D83" s="34"/>
      <c r="E83" s="35"/>
      <c r="F83" s="61"/>
      <c r="G83" s="62"/>
      <c r="H83" s="36"/>
      <c r="I83" s="35"/>
      <c r="J83" s="35"/>
      <c r="K83" s="35">
        <f>K82*$E$11</f>
        <v>0</v>
      </c>
      <c r="L83" s="61"/>
      <c r="M83" s="62"/>
      <c r="N83" s="36"/>
      <c r="O83" s="35"/>
      <c r="P83" s="35"/>
      <c r="Q83" s="35">
        <f>Q82*$E$12</f>
        <v>0</v>
      </c>
      <c r="R83" s="61"/>
      <c r="S83" s="62"/>
      <c r="T83" s="36"/>
      <c r="U83" s="35"/>
      <c r="V83" s="35"/>
      <c r="W83" s="35">
        <f>W82*$E$13</f>
        <v>0</v>
      </c>
      <c r="X83" s="61"/>
      <c r="Y83" s="62"/>
      <c r="Z83" s="36"/>
      <c r="AA83" s="35"/>
      <c r="AB83" s="35"/>
      <c r="AC83" s="35">
        <f>AC82*$E$14</f>
        <v>0</v>
      </c>
      <c r="AD83" s="61"/>
      <c r="AE83" s="62"/>
      <c r="AF83" s="36"/>
      <c r="AG83" s="35"/>
      <c r="AH83" s="35"/>
      <c r="AI83" s="37">
        <f>AI82*$E$15</f>
        <v>0</v>
      </c>
      <c r="AJ83" s="266">
        <v>0</v>
      </c>
    </row>
    <row r="84" spans="1:36" s="46" customFormat="1" ht="18.600000000000001" thickBot="1" x14ac:dyDescent="0.35">
      <c r="A84" s="48" t="s">
        <v>23</v>
      </c>
      <c r="B84" s="39"/>
      <c r="C84" s="39"/>
      <c r="D84" s="39"/>
      <c r="E84" s="45"/>
      <c r="F84" s="51"/>
      <c r="G84" s="52"/>
      <c r="H84" s="53"/>
      <c r="I84" s="54"/>
      <c r="J84" s="54"/>
      <c r="K84" s="54">
        <f>K81+K83</f>
        <v>0</v>
      </c>
      <c r="L84" s="51"/>
      <c r="M84" s="52"/>
      <c r="N84" s="53"/>
      <c r="O84" s="54"/>
      <c r="P84" s="54"/>
      <c r="Q84" s="54">
        <f>Q81+Q83</f>
        <v>0</v>
      </c>
      <c r="R84" s="51"/>
      <c r="S84" s="52"/>
      <c r="T84" s="53"/>
      <c r="U84" s="54"/>
      <c r="V84" s="54"/>
      <c r="W84" s="54">
        <f>W81+W83</f>
        <v>0</v>
      </c>
      <c r="X84" s="51"/>
      <c r="Y84" s="52"/>
      <c r="Z84" s="53"/>
      <c r="AA84" s="54"/>
      <c r="AB84" s="54"/>
      <c r="AC84" s="54">
        <f>AC81+AC83</f>
        <v>0</v>
      </c>
      <c r="AD84" s="51"/>
      <c r="AE84" s="52"/>
      <c r="AF84" s="53"/>
      <c r="AG84" s="54"/>
      <c r="AH84" s="54"/>
      <c r="AI84" s="87">
        <f>AI81+AI83</f>
        <v>0</v>
      </c>
      <c r="AJ84" s="267">
        <v>0</v>
      </c>
    </row>
    <row r="85" spans="1:36" x14ac:dyDescent="0.3">
      <c r="E85" s="2"/>
      <c r="F85" s="2"/>
      <c r="I85" s="2"/>
      <c r="J85" s="2"/>
      <c r="K85" s="2"/>
      <c r="L85" s="2"/>
      <c r="O85" s="2"/>
      <c r="P85" s="2"/>
      <c r="Q85" s="2"/>
      <c r="R85" s="2"/>
      <c r="U85" s="2"/>
      <c r="V85" s="2"/>
      <c r="W85" s="2"/>
      <c r="X85" s="2"/>
      <c r="AA85" s="2"/>
      <c r="AB85" s="2"/>
      <c r="AC85" s="2"/>
      <c r="AD85" s="2"/>
      <c r="AG85" s="2"/>
      <c r="AH85" s="2"/>
      <c r="AI85" s="2"/>
    </row>
    <row r="86" spans="1:36" s="5" customFormat="1" x14ac:dyDescent="0.3">
      <c r="A86" s="17" t="s">
        <v>235</v>
      </c>
      <c r="B86" s="17"/>
      <c r="C86" s="17"/>
      <c r="D86" s="17"/>
      <c r="E86" s="79"/>
      <c r="F86" s="79"/>
      <c r="G86" s="80"/>
      <c r="H86" s="81"/>
      <c r="I86" s="79"/>
      <c r="J86" s="79"/>
      <c r="K86" s="79">
        <f>IF(K84&lt;25000,K84,25000)</f>
        <v>0</v>
      </c>
      <c r="L86" s="79"/>
      <c r="M86" s="80"/>
      <c r="N86" s="88"/>
      <c r="O86" s="79"/>
      <c r="P86" s="79"/>
      <c r="Q86" s="79">
        <f>IF(+K86=25000,0,IF(+K84+Q84&lt;25000,Q84,25000-K86))</f>
        <v>0</v>
      </c>
      <c r="R86" s="79"/>
      <c r="S86" s="80"/>
      <c r="T86" s="81"/>
      <c r="U86" s="79"/>
      <c r="V86" s="79"/>
      <c r="W86" s="79">
        <f>IF(K86+Q86=25000,0,IF(K84+Q84+W84&lt;25000,W84,25000-K86-Q86))</f>
        <v>0</v>
      </c>
      <c r="X86" s="79"/>
      <c r="Y86" s="80"/>
      <c r="Z86" s="81"/>
      <c r="AA86" s="79"/>
      <c r="AB86" s="79"/>
      <c r="AC86" s="79">
        <f>IF(K86+Q86+W86=25000,0,IF(K84+Q84+W84+AC84&lt;25000,AC84,25000-K86-Q86-W86))</f>
        <v>0</v>
      </c>
      <c r="AD86" s="79"/>
      <c r="AE86" s="80"/>
      <c r="AF86" s="81"/>
      <c r="AG86" s="79"/>
      <c r="AH86" s="79"/>
      <c r="AI86" s="79">
        <f>IF(K86+Q86+W86+AC86=25000,0,IF(K84+Q84+W84+AC84+AI84&lt;25000,AI84,25000-K86-Q86-W86-AC86))</f>
        <v>0</v>
      </c>
    </row>
    <row r="87" spans="1:36" x14ac:dyDescent="0.3">
      <c r="E87" s="2"/>
      <c r="F87" s="2"/>
      <c r="I87" s="2"/>
      <c r="J87" s="2"/>
      <c r="K87" s="2"/>
      <c r="L87" s="2"/>
      <c r="O87" s="2"/>
      <c r="P87" s="2"/>
      <c r="Q87" s="2"/>
      <c r="R87" s="2"/>
      <c r="U87" s="2"/>
      <c r="V87" s="2"/>
      <c r="W87" s="2"/>
      <c r="X87" s="2"/>
      <c r="AA87" s="2"/>
      <c r="AB87" s="2"/>
      <c r="AC87" s="2"/>
      <c r="AD87" s="2"/>
      <c r="AG87" s="2"/>
      <c r="AH87" s="2"/>
      <c r="AI87" s="2"/>
    </row>
    <row r="88" spans="1:36" x14ac:dyDescent="0.3">
      <c r="E88" s="2"/>
      <c r="F88" s="2"/>
      <c r="I88" s="2"/>
      <c r="J88" s="2"/>
      <c r="K88" s="2"/>
      <c r="L88" s="2"/>
      <c r="O88" s="2"/>
      <c r="P88" s="2"/>
      <c r="Q88" s="2"/>
      <c r="R88" s="2"/>
      <c r="U88" s="2"/>
      <c r="V88" s="2"/>
      <c r="W88" s="2"/>
      <c r="X88" s="2"/>
      <c r="AA88" s="2"/>
      <c r="AB88" s="2"/>
      <c r="AC88" s="2"/>
      <c r="AD88" s="2"/>
      <c r="AG88" s="2"/>
      <c r="AH88" s="2"/>
      <c r="AI88" s="2"/>
    </row>
    <row r="89" spans="1:36" x14ac:dyDescent="0.3">
      <c r="E89" s="2"/>
      <c r="F89" s="2"/>
      <c r="I89" s="2"/>
      <c r="J89" s="2"/>
      <c r="K89" s="2"/>
      <c r="L89" s="2"/>
      <c r="O89" s="2"/>
      <c r="P89" s="2"/>
      <c r="Q89" s="2"/>
      <c r="R89" s="2"/>
      <c r="U89" s="2"/>
      <c r="V89" s="2"/>
      <c r="W89" s="2"/>
      <c r="X89" s="2"/>
      <c r="AA89" s="2"/>
      <c r="AB89" s="2"/>
      <c r="AC89" s="2"/>
      <c r="AD89" s="2"/>
      <c r="AG89" s="2"/>
      <c r="AH89" s="2"/>
      <c r="AI89" s="2"/>
    </row>
    <row r="90" spans="1:36" x14ac:dyDescent="0.3">
      <c r="E90" s="2"/>
      <c r="F90" s="2"/>
      <c r="I90" s="2"/>
      <c r="J90" s="2"/>
      <c r="K90" s="2"/>
      <c r="L90" s="2"/>
      <c r="O90" s="2"/>
      <c r="P90" s="2"/>
      <c r="Q90" s="2"/>
      <c r="R90" s="2"/>
      <c r="U90" s="2"/>
      <c r="V90" s="2"/>
      <c r="W90" s="2"/>
      <c r="X90" s="2"/>
      <c r="AA90" s="2"/>
      <c r="AB90" s="2"/>
      <c r="AC90" s="2"/>
      <c r="AD90" s="2"/>
      <c r="AG90" s="2"/>
      <c r="AH90" s="2"/>
      <c r="AI90" s="2"/>
    </row>
    <row r="91" spans="1:36" x14ac:dyDescent="0.3">
      <c r="E91" s="2"/>
      <c r="F91" s="2"/>
      <c r="I91" s="2"/>
      <c r="J91" s="2"/>
      <c r="K91" s="2"/>
      <c r="L91" s="2"/>
      <c r="O91" s="2"/>
      <c r="P91" s="2"/>
      <c r="Q91" s="2"/>
      <c r="R91" s="2"/>
      <c r="U91" s="2"/>
      <c r="V91" s="2"/>
      <c r="W91" s="2"/>
      <c r="X91" s="2"/>
      <c r="AA91" s="2"/>
      <c r="AB91" s="2"/>
      <c r="AC91" s="2"/>
      <c r="AD91" s="2"/>
      <c r="AG91" s="2"/>
      <c r="AH91" s="2"/>
      <c r="AI91" s="2"/>
    </row>
    <row r="92" spans="1:36" x14ac:dyDescent="0.3">
      <c r="E92" s="2"/>
      <c r="F92" s="2"/>
      <c r="I92" s="2"/>
      <c r="J92" s="2"/>
      <c r="K92" s="2"/>
      <c r="L92" s="2"/>
      <c r="O92" s="2"/>
      <c r="P92" s="2"/>
      <c r="Q92" s="2"/>
      <c r="R92" s="2"/>
      <c r="U92" s="2"/>
      <c r="V92" s="2"/>
      <c r="W92" s="2"/>
      <c r="X92" s="2"/>
      <c r="AA92" s="2"/>
      <c r="AB92" s="2"/>
      <c r="AC92" s="2"/>
      <c r="AD92" s="2"/>
      <c r="AG92" s="2"/>
      <c r="AH92" s="2"/>
      <c r="AI92" s="2"/>
    </row>
    <row r="93" spans="1:36" x14ac:dyDescent="0.3">
      <c r="E93" s="2"/>
      <c r="F93" s="2"/>
      <c r="I93" s="2"/>
      <c r="J93" s="2"/>
      <c r="K93" s="2"/>
      <c r="L93" s="2"/>
      <c r="O93" s="2"/>
      <c r="P93" s="2"/>
      <c r="Q93" s="2"/>
      <c r="R93" s="2"/>
      <c r="U93" s="2"/>
      <c r="V93" s="2"/>
      <c r="W93" s="2"/>
      <c r="X93" s="2"/>
      <c r="AA93" s="2"/>
      <c r="AB93" s="2"/>
      <c r="AC93" s="2"/>
      <c r="AD93" s="2"/>
      <c r="AG93" s="2"/>
      <c r="AH93" s="2"/>
      <c r="AI93" s="2"/>
    </row>
    <row r="94" spans="1:36" x14ac:dyDescent="0.3">
      <c r="E94" s="2"/>
      <c r="F94" s="2"/>
      <c r="I94" s="2"/>
      <c r="J94" s="2"/>
      <c r="K94" s="2"/>
      <c r="L94" s="2"/>
      <c r="O94" s="2"/>
      <c r="P94" s="2"/>
      <c r="Q94" s="2"/>
      <c r="R94" s="2"/>
      <c r="U94" s="2"/>
      <c r="V94" s="2"/>
      <c r="W94" s="2"/>
      <c r="X94" s="2"/>
      <c r="AA94" s="2"/>
      <c r="AB94" s="2"/>
      <c r="AC94" s="2"/>
      <c r="AD94" s="2"/>
      <c r="AG94" s="2"/>
      <c r="AH94" s="2"/>
      <c r="AI94" s="2"/>
    </row>
    <row r="95" spans="1:36" x14ac:dyDescent="0.3">
      <c r="E95" s="2"/>
      <c r="F95" s="2"/>
      <c r="I95" s="2"/>
      <c r="J95" s="2"/>
      <c r="K95" s="2"/>
      <c r="L95" s="2"/>
      <c r="O95" s="2"/>
      <c r="P95" s="2"/>
      <c r="Q95" s="2"/>
      <c r="R95" s="2"/>
      <c r="U95" s="2"/>
      <c r="V95" s="2"/>
      <c r="W95" s="2"/>
      <c r="X95" s="2"/>
      <c r="AA95" s="2"/>
      <c r="AB95" s="2"/>
      <c r="AC95" s="2"/>
      <c r="AD95" s="2"/>
      <c r="AG95" s="2"/>
      <c r="AH95" s="2"/>
      <c r="AI95" s="2"/>
    </row>
    <row r="96" spans="1:36" x14ac:dyDescent="0.3">
      <c r="E96" s="2"/>
      <c r="F96" s="2"/>
      <c r="I96" s="2"/>
      <c r="J96" s="2"/>
      <c r="K96" s="2"/>
      <c r="L96" s="2"/>
      <c r="O96" s="2"/>
      <c r="P96" s="2"/>
      <c r="Q96" s="2"/>
      <c r="R96" s="2"/>
      <c r="U96" s="2"/>
      <c r="V96" s="2"/>
      <c r="W96" s="2"/>
      <c r="X96" s="2"/>
      <c r="AA96" s="2"/>
      <c r="AB96" s="2"/>
      <c r="AC96" s="2"/>
      <c r="AD96" s="2"/>
      <c r="AG96" s="2"/>
      <c r="AH96" s="2"/>
      <c r="AI96" s="2"/>
    </row>
    <row r="97" spans="5:35" x14ac:dyDescent="0.3">
      <c r="E97" s="2"/>
      <c r="F97" s="2"/>
      <c r="I97" s="2"/>
      <c r="J97" s="2"/>
      <c r="K97" s="2"/>
      <c r="L97" s="2"/>
      <c r="O97" s="2"/>
      <c r="P97" s="2"/>
      <c r="Q97" s="2"/>
      <c r="R97" s="2"/>
      <c r="U97" s="2"/>
      <c r="V97" s="2"/>
      <c r="W97" s="2"/>
      <c r="X97" s="2"/>
      <c r="AA97" s="2"/>
      <c r="AB97" s="2"/>
      <c r="AC97" s="2"/>
      <c r="AD97" s="2"/>
      <c r="AG97" s="2"/>
      <c r="AH97" s="2"/>
      <c r="AI97" s="2"/>
    </row>
    <row r="98" spans="5:35" x14ac:dyDescent="0.3">
      <c r="E98" s="2"/>
      <c r="F98" s="2"/>
      <c r="I98" s="2"/>
      <c r="J98" s="2"/>
      <c r="K98" s="2"/>
      <c r="L98" s="2"/>
      <c r="O98" s="2"/>
      <c r="P98" s="2"/>
      <c r="Q98" s="2"/>
      <c r="R98" s="2"/>
      <c r="U98" s="2"/>
      <c r="V98" s="2"/>
      <c r="W98" s="2"/>
      <c r="X98" s="2"/>
      <c r="AA98" s="2"/>
      <c r="AB98" s="2"/>
      <c r="AC98" s="2"/>
      <c r="AD98" s="2"/>
      <c r="AG98" s="2"/>
      <c r="AH98" s="2"/>
      <c r="AI98" s="2"/>
    </row>
    <row r="99" spans="5:35" x14ac:dyDescent="0.3">
      <c r="E99" s="2"/>
      <c r="F99" s="2"/>
      <c r="I99" s="2"/>
      <c r="J99" s="2"/>
      <c r="K99" s="2"/>
      <c r="L99" s="2"/>
      <c r="O99" s="2"/>
      <c r="P99" s="2"/>
      <c r="Q99" s="2"/>
      <c r="R99" s="2"/>
      <c r="U99" s="2"/>
      <c r="V99" s="2"/>
      <c r="W99" s="2"/>
      <c r="X99" s="2"/>
      <c r="AA99" s="2"/>
      <c r="AB99" s="2"/>
      <c r="AC99" s="2"/>
      <c r="AD99" s="2"/>
      <c r="AG99" s="2"/>
      <c r="AH99" s="2"/>
      <c r="AI99" s="2"/>
    </row>
  </sheetData>
  <mergeCells count="21">
    <mergeCell ref="B7:E7"/>
    <mergeCell ref="B4:E4"/>
    <mergeCell ref="B1:E1"/>
    <mergeCell ref="B2:E2"/>
    <mergeCell ref="B3:E3"/>
    <mergeCell ref="B5:E5"/>
    <mergeCell ref="B6:E6"/>
    <mergeCell ref="B8:E8"/>
    <mergeCell ref="B9:E9"/>
    <mergeCell ref="A10:B10"/>
    <mergeCell ref="D10:E10"/>
    <mergeCell ref="F17:K17"/>
    <mergeCell ref="R17:W17"/>
    <mergeCell ref="X17:AC17"/>
    <mergeCell ref="AD17:AI17"/>
    <mergeCell ref="F18:K18"/>
    <mergeCell ref="L18:Q18"/>
    <mergeCell ref="R18:W18"/>
    <mergeCell ref="X18:AC18"/>
    <mergeCell ref="AD18:AI18"/>
    <mergeCell ref="L17:Q17"/>
  </mergeCells>
  <conditionalFormatting sqref="A21">
    <cfRule type="cellIs" dxfId="2" priority="1" operator="equal">
      <formula>0</formula>
    </cfRule>
  </conditionalFormatting>
  <conditionalFormatting sqref="B1:E3 B4 B5:E9">
    <cfRule type="cellIs" dxfId="1" priority="2" operator="equal">
      <formula>0</formula>
    </cfRule>
    <cfRule type="cellIs" dxfId="0" priority="3" operator="equal">
      <formula>0</formula>
    </cfRule>
  </conditionalFormatting>
  <dataValidations count="1">
    <dataValidation type="list" allowBlank="1" showInputMessage="1" showErrorMessage="1" sqref="C21:C31 C33:C42" xr:uid="{00000000-0002-0000-0300-000000000000}">
      <formula1>$A$9:$A$12</formula1>
    </dataValidation>
  </dataValidations>
  <pageMargins left="0.1" right="0.1" top="0.1" bottom="0.1" header="0.3" footer="0.3"/>
  <pageSetup scale="56"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F40"/>
  <sheetViews>
    <sheetView workbookViewId="0">
      <selection activeCell="F26" sqref="F26"/>
    </sheetView>
  </sheetViews>
  <sheetFormatPr defaultColWidth="8.88671875" defaultRowHeight="14.4" x14ac:dyDescent="0.3"/>
  <cols>
    <col min="1" max="1" width="21.44140625" bestFit="1" customWidth="1"/>
    <col min="3" max="3" width="24.5546875" bestFit="1" customWidth="1"/>
  </cols>
  <sheetData>
    <row r="1" spans="1:4" x14ac:dyDescent="0.3">
      <c r="A1" t="s">
        <v>249</v>
      </c>
      <c r="D1" t="s">
        <v>250</v>
      </c>
    </row>
    <row r="2" spans="1:4" x14ac:dyDescent="0.3">
      <c r="A2" t="s">
        <v>251</v>
      </c>
      <c r="B2" t="s">
        <v>252</v>
      </c>
    </row>
    <row r="3" spans="1:4" x14ac:dyDescent="0.3">
      <c r="A3">
        <v>0</v>
      </c>
      <c r="B3" s="78">
        <v>48432</v>
      </c>
    </row>
    <row r="4" spans="1:4" x14ac:dyDescent="0.3">
      <c r="A4">
        <v>1</v>
      </c>
      <c r="B4" s="78">
        <v>48804</v>
      </c>
    </row>
    <row r="5" spans="1:4" x14ac:dyDescent="0.3">
      <c r="A5">
        <v>2</v>
      </c>
      <c r="B5" s="78">
        <v>49188</v>
      </c>
    </row>
    <row r="6" spans="1:4" x14ac:dyDescent="0.3">
      <c r="A6">
        <v>3</v>
      </c>
      <c r="B6" s="78">
        <v>51324</v>
      </c>
    </row>
    <row r="7" spans="1:4" x14ac:dyDescent="0.3">
      <c r="A7">
        <v>4</v>
      </c>
      <c r="B7" s="78">
        <v>53184</v>
      </c>
    </row>
    <row r="8" spans="1:4" x14ac:dyDescent="0.3">
      <c r="A8">
        <v>5</v>
      </c>
      <c r="B8" s="78">
        <v>55308</v>
      </c>
    </row>
    <row r="9" spans="1:4" x14ac:dyDescent="0.3">
      <c r="A9">
        <v>6</v>
      </c>
      <c r="B9" s="78">
        <v>57528</v>
      </c>
    </row>
    <row r="10" spans="1:4" x14ac:dyDescent="0.3">
      <c r="A10">
        <v>7</v>
      </c>
      <c r="B10" s="78">
        <v>59736</v>
      </c>
    </row>
    <row r="11" spans="1:4" x14ac:dyDescent="0.3">
      <c r="A11" t="s">
        <v>253</v>
      </c>
    </row>
    <row r="12" spans="1:4" x14ac:dyDescent="0.3">
      <c r="A12" t="s">
        <v>251</v>
      </c>
      <c r="B12" t="s">
        <v>254</v>
      </c>
    </row>
    <row r="13" spans="1:4" x14ac:dyDescent="0.3">
      <c r="A13">
        <v>0</v>
      </c>
      <c r="B13" s="78">
        <v>47484</v>
      </c>
    </row>
    <row r="14" spans="1:4" x14ac:dyDescent="0.3">
      <c r="A14">
        <v>1</v>
      </c>
      <c r="B14" s="78">
        <v>47844</v>
      </c>
    </row>
    <row r="15" spans="1:4" x14ac:dyDescent="0.3">
      <c r="A15">
        <v>2</v>
      </c>
      <c r="B15" s="78">
        <v>48216</v>
      </c>
    </row>
    <row r="16" spans="1:4" x14ac:dyDescent="0.3">
      <c r="A16">
        <v>3</v>
      </c>
      <c r="B16" s="78">
        <v>50316</v>
      </c>
    </row>
    <row r="17" spans="1:6" x14ac:dyDescent="0.3">
      <c r="A17">
        <v>4</v>
      </c>
      <c r="B17" s="78">
        <v>52140</v>
      </c>
    </row>
    <row r="18" spans="1:6" x14ac:dyDescent="0.3">
      <c r="A18">
        <v>5</v>
      </c>
      <c r="B18" s="78">
        <v>54228</v>
      </c>
    </row>
    <row r="19" spans="1:6" x14ac:dyDescent="0.3">
      <c r="A19">
        <v>6</v>
      </c>
      <c r="B19" s="78">
        <v>56400</v>
      </c>
    </row>
    <row r="20" spans="1:6" x14ac:dyDescent="0.3">
      <c r="A20">
        <v>7</v>
      </c>
      <c r="B20" s="78">
        <v>58560</v>
      </c>
    </row>
    <row r="21" spans="1:6" x14ac:dyDescent="0.3">
      <c r="A21" s="92" t="s">
        <v>255</v>
      </c>
    </row>
    <row r="22" spans="1:6" x14ac:dyDescent="0.3">
      <c r="A22" t="s">
        <v>256</v>
      </c>
      <c r="B22" s="78">
        <v>197300</v>
      </c>
      <c r="C22" t="s">
        <v>257</v>
      </c>
      <c r="F22" t="s">
        <v>258</v>
      </c>
    </row>
    <row r="23" spans="1:6" x14ac:dyDescent="0.3">
      <c r="A23" t="s">
        <v>259</v>
      </c>
      <c r="B23" s="78">
        <v>200000</v>
      </c>
      <c r="F23" t="s">
        <v>260</v>
      </c>
    </row>
    <row r="24" spans="1:6" x14ac:dyDescent="0.3">
      <c r="A24" t="s">
        <v>44</v>
      </c>
    </row>
    <row r="26" spans="1:6" x14ac:dyDescent="0.3">
      <c r="A26" t="s">
        <v>261</v>
      </c>
    </row>
    <row r="27" spans="1:6" x14ac:dyDescent="0.3">
      <c r="A27" t="s">
        <v>251</v>
      </c>
      <c r="B27" t="s">
        <v>262</v>
      </c>
    </row>
    <row r="28" spans="1:6" x14ac:dyDescent="0.3">
      <c r="A28">
        <v>0</v>
      </c>
      <c r="B28" s="78">
        <v>43692</v>
      </c>
    </row>
    <row r="29" spans="1:6" x14ac:dyDescent="0.3">
      <c r="A29">
        <v>1</v>
      </c>
      <c r="B29" s="78">
        <v>45444</v>
      </c>
    </row>
    <row r="30" spans="1:6" x14ac:dyDescent="0.3">
      <c r="A30">
        <v>2</v>
      </c>
      <c r="B30" s="78">
        <v>47268</v>
      </c>
    </row>
    <row r="31" spans="1:6" x14ac:dyDescent="0.3">
      <c r="A31">
        <v>3</v>
      </c>
      <c r="B31" s="78">
        <v>49152</v>
      </c>
    </row>
    <row r="32" spans="1:6" x14ac:dyDescent="0.3">
      <c r="A32">
        <v>4</v>
      </c>
      <c r="B32" s="78">
        <v>51120</v>
      </c>
    </row>
    <row r="33" spans="1:3" x14ac:dyDescent="0.3">
      <c r="A33">
        <v>5</v>
      </c>
      <c r="B33" s="78">
        <v>53160</v>
      </c>
    </row>
    <row r="34" spans="1:3" x14ac:dyDescent="0.3">
      <c r="A34">
        <v>6</v>
      </c>
      <c r="B34" s="78">
        <v>55296</v>
      </c>
    </row>
    <row r="35" spans="1:3" x14ac:dyDescent="0.3">
      <c r="A35">
        <v>7</v>
      </c>
      <c r="B35" s="78">
        <v>57504</v>
      </c>
    </row>
    <row r="38" spans="1:3" x14ac:dyDescent="0.3">
      <c r="A38" t="s">
        <v>108</v>
      </c>
      <c r="B38" s="93"/>
    </row>
    <row r="39" spans="1:3" x14ac:dyDescent="0.3">
      <c r="B39" s="93">
        <v>54000</v>
      </c>
      <c r="C39" t="s">
        <v>263</v>
      </c>
    </row>
    <row r="40" spans="1:3" x14ac:dyDescent="0.3">
      <c r="B40" s="93">
        <v>56000</v>
      </c>
      <c r="C40" t="s">
        <v>264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43AFAA10C80A408BD953E02375662A" ma:contentTypeVersion="9" ma:contentTypeDescription="Create a new document." ma:contentTypeScope="" ma:versionID="2938b06181b12f477448bbd2d0f11e86">
  <xsd:schema xmlns:xsd="http://www.w3.org/2001/XMLSchema" xmlns:xs="http://www.w3.org/2001/XMLSchema" xmlns:p="http://schemas.microsoft.com/office/2006/metadata/properties" xmlns:ns2="87ec3852-5716-45b9-b708-cb3f330b588c" xmlns:ns3="7275e622-da0b-40cf-8bb3-dc9a6d56182c" targetNamespace="http://schemas.microsoft.com/office/2006/metadata/properties" ma:root="true" ma:fieldsID="69f96b2e452ae471122fece438af18b8" ns2:_="" ns3:_="">
    <xsd:import namespace="87ec3852-5716-45b9-b708-cb3f330b588c"/>
    <xsd:import namespace="7275e622-da0b-40cf-8bb3-dc9a6d5618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c3852-5716-45b9-b708-cb3f330b58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7dcecd2-2480-4c57-b8f7-59c26d1b2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75e622-da0b-40cf-8bb3-dc9a6d56182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4b22ea0-a120-4f64-9223-0ce4f2bcd8e0}" ma:internalName="TaxCatchAll" ma:showField="CatchAllData" ma:web="7275e622-da0b-40cf-8bb3-dc9a6d5618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ec3852-5716-45b9-b708-cb3f330b588c">
      <Terms xmlns="http://schemas.microsoft.com/office/infopath/2007/PartnerControls"/>
    </lcf76f155ced4ddcb4097134ff3c332f>
    <TaxCatchAll xmlns="7275e622-da0b-40cf-8bb3-dc9a6d56182c" xsi:nil="true"/>
  </documentManagement>
</p:properties>
</file>

<file path=customXml/itemProps1.xml><?xml version="1.0" encoding="utf-8"?>
<ds:datastoreItem xmlns:ds="http://schemas.openxmlformats.org/officeDocument/2006/customXml" ds:itemID="{7836A77F-AAFA-4759-9F43-5089E3000DF5}"/>
</file>

<file path=customXml/itemProps2.xml><?xml version="1.0" encoding="utf-8"?>
<ds:datastoreItem xmlns:ds="http://schemas.openxmlformats.org/officeDocument/2006/customXml" ds:itemID="{E6465E83-98EE-4AA0-8DAE-1F6E5B8F86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CF7854-C5BE-4EDE-8078-4A15C6C40BD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Primary Site</vt:lpstr>
      <vt:lpstr>HJF</vt:lpstr>
      <vt:lpstr>Pitt Foundation</vt:lpstr>
      <vt:lpstr>Penn</vt:lpstr>
      <vt:lpstr>Stipends &amp; Salary Caps</vt:lpstr>
    </vt:vector>
  </TitlesOfParts>
  <Manager/>
  <Company>Internal Medicine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Hammond</dc:creator>
  <cp:keywords/>
  <dc:description/>
  <cp:lastModifiedBy>Alanna Caffas</cp:lastModifiedBy>
  <cp:revision/>
  <dcterms:created xsi:type="dcterms:W3CDTF">2012-08-17T23:12:25Z</dcterms:created>
  <dcterms:modified xsi:type="dcterms:W3CDTF">2026-10-08T01:50:32Z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0x0101000743AFAA10C80A408BD953E02375662A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